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B\external\!publish\Forest Health\Detailed and Aerial Overview flight data\2021 Data\2019-2021 GEORef Maps\"/>
    </mc:Choice>
  </mc:AlternateContent>
  <xr:revisionPtr revIDLastSave="0" documentId="13_ncr:1_{6AE78B7E-149F-46F9-99B1-C717F9D7DFFF}" xr6:coauthVersionLast="47" xr6:coauthVersionMax="47" xr10:uidLastSave="{00000000-0000-0000-0000-000000000000}"/>
  <bookViews>
    <workbookView xWindow="-120" yWindow="-120" windowWidth="25440" windowHeight="15390" tabRatio="565" activeTab="1" xr2:uid="{00000000-000D-0000-FFFF-FFFF00000000}"/>
  </bookViews>
  <sheets>
    <sheet name="IBM IBD IBS Poly 2017" sheetId="8" r:id="rId1"/>
    <sheet name="IBM IBD IBS Harvest Data 2017" sheetId="9" r:id="rId2"/>
    <sheet name="IBM IBD IBS NW Poly 2018" sheetId="10" r:id="rId3"/>
    <sheet name="IBM IBD IBS NWHarvest Data 2018" sheetId="11" r:id="rId4"/>
    <sheet name="IBM IBD Poly 2019" sheetId="12" r:id="rId5"/>
    <sheet name="IBM IBD Harvest Data 2019" sheetId="13" r:id="rId6"/>
    <sheet name="IBM IBD IBS IBB Poly 2020" sheetId="14" r:id="rId7"/>
    <sheet name="IBM IBD IBS IBB Hrvst Data 2020" sheetId="15" r:id="rId8"/>
    <sheet name="IBM IBD IBB Poly 2021" sheetId="16" r:id="rId9"/>
    <sheet name="IBM IBD  IBB Hrvst Data 2021" sheetId="19" r:id="rId10"/>
  </sheets>
  <definedNames>
    <definedName name="_xlnm.Database" localSheetId="5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0" i="19" l="1"/>
  <c r="E66" i="19"/>
  <c r="E73" i="19" s="1"/>
  <c r="E58" i="19"/>
  <c r="E59" i="19" s="1"/>
  <c r="E43" i="19"/>
  <c r="E37" i="19"/>
  <c r="E32" i="19"/>
  <c r="E27" i="19"/>
  <c r="E21" i="19"/>
  <c r="E17" i="19"/>
  <c r="E7" i="19"/>
  <c r="E46" i="19" s="1"/>
  <c r="J9" i="19"/>
  <c r="J10" i="19" s="1"/>
  <c r="F55" i="16" l="1"/>
  <c r="H55" i="16"/>
  <c r="I55" i="16"/>
  <c r="J55" i="16"/>
  <c r="L55" i="16"/>
  <c r="M55" i="16"/>
  <c r="N55" i="16"/>
  <c r="O55" i="16"/>
  <c r="P55" i="16"/>
  <c r="Q55" i="16"/>
  <c r="R55" i="16"/>
  <c r="S55" i="16"/>
  <c r="T55" i="16"/>
  <c r="U55" i="16"/>
  <c r="D55" i="16"/>
  <c r="F40" i="16"/>
  <c r="H40" i="16"/>
  <c r="I40" i="16"/>
  <c r="J40" i="16"/>
  <c r="L40" i="16"/>
  <c r="M40" i="16"/>
  <c r="N40" i="16"/>
  <c r="O40" i="16"/>
  <c r="P40" i="16"/>
  <c r="Q40" i="16"/>
  <c r="R40" i="16"/>
  <c r="S40" i="16"/>
  <c r="T40" i="16"/>
  <c r="U40" i="16"/>
  <c r="D40" i="16"/>
  <c r="H34" i="16"/>
  <c r="I34" i="16"/>
  <c r="J34" i="16"/>
  <c r="L34" i="16"/>
  <c r="M34" i="16"/>
  <c r="N34" i="16"/>
  <c r="O34" i="16"/>
  <c r="P34" i="16"/>
  <c r="Q34" i="16"/>
  <c r="R34" i="16"/>
  <c r="S34" i="16"/>
  <c r="T34" i="16"/>
  <c r="U34" i="16"/>
  <c r="F34" i="16"/>
  <c r="D34" i="16"/>
  <c r="N82" i="14" l="1"/>
  <c r="N4" i="14" l="1"/>
  <c r="N5" i="14"/>
  <c r="N6" i="14"/>
  <c r="N7" i="14"/>
  <c r="N8" i="14"/>
  <c r="N9" i="14"/>
  <c r="N10" i="14"/>
  <c r="N11" i="14"/>
  <c r="N12" i="14"/>
  <c r="N13" i="14"/>
  <c r="N14" i="14"/>
  <c r="N15" i="14"/>
  <c r="N16" i="14"/>
  <c r="N17" i="14"/>
  <c r="N18" i="14"/>
  <c r="N19" i="14"/>
  <c r="N20" i="14"/>
  <c r="N21" i="14"/>
  <c r="N22" i="14"/>
  <c r="N23" i="14"/>
  <c r="N24" i="14"/>
  <c r="N25" i="14"/>
  <c r="N26" i="14"/>
  <c r="N27" i="14"/>
  <c r="N28" i="14"/>
  <c r="N29" i="14"/>
  <c r="N30" i="14"/>
  <c r="N31" i="14"/>
  <c r="N32" i="14"/>
  <c r="N33" i="14"/>
  <c r="N34" i="14"/>
  <c r="N35" i="14"/>
  <c r="N36" i="14"/>
  <c r="N37" i="14"/>
  <c r="N38" i="14"/>
  <c r="N39" i="14"/>
  <c r="N40" i="14"/>
  <c r="N41" i="14"/>
  <c r="N42" i="14"/>
  <c r="N43" i="14"/>
  <c r="N44" i="14"/>
  <c r="N45" i="14"/>
  <c r="N46" i="14"/>
  <c r="N47" i="14"/>
  <c r="N48" i="14"/>
  <c r="N49" i="14"/>
  <c r="N50" i="14"/>
  <c r="N51" i="14"/>
  <c r="N52" i="14"/>
  <c r="N53" i="14"/>
  <c r="N54" i="14"/>
  <c r="N55" i="14"/>
  <c r="N56" i="14"/>
  <c r="N57" i="14"/>
  <c r="N58" i="14"/>
  <c r="N59" i="14"/>
  <c r="N60" i="14"/>
  <c r="N61" i="14"/>
  <c r="N62" i="14"/>
  <c r="N63" i="14"/>
  <c r="N64" i="14"/>
  <c r="N65" i="14"/>
  <c r="N66" i="14"/>
  <c r="N67" i="14"/>
  <c r="N68" i="14"/>
  <c r="N69" i="14"/>
  <c r="N70" i="14"/>
  <c r="N71" i="14"/>
  <c r="N72" i="14"/>
  <c r="N73" i="14"/>
  <c r="N74" i="14"/>
  <c r="N75" i="14"/>
  <c r="N76" i="14"/>
  <c r="N77" i="14"/>
  <c r="N78" i="14"/>
  <c r="N79" i="14"/>
  <c r="N80" i="14"/>
  <c r="N81" i="14"/>
  <c r="N85" i="14"/>
  <c r="N86" i="14"/>
  <c r="N87" i="14"/>
  <c r="N88" i="14"/>
  <c r="N89" i="14"/>
  <c r="N90" i="14"/>
  <c r="N94" i="14"/>
  <c r="N3" i="14"/>
  <c r="N11" i="12" l="1"/>
  <c r="J20" i="13"/>
  <c r="J17" i="13"/>
  <c r="J11" i="13"/>
  <c r="J5" i="13"/>
  <c r="E91" i="13" l="1"/>
  <c r="E87" i="13"/>
  <c r="E80" i="13"/>
  <c r="E74" i="13"/>
  <c r="E71" i="13"/>
  <c r="E67" i="13"/>
  <c r="E61" i="13"/>
  <c r="E56" i="13"/>
  <c r="E48" i="13"/>
  <c r="E93" i="13" s="1"/>
  <c r="K79" i="8"/>
  <c r="E31" i="13"/>
  <c r="E28" i="13"/>
  <c r="E25" i="13"/>
  <c r="E19" i="13"/>
  <c r="E18" i="13"/>
  <c r="E17" i="13"/>
  <c r="E11" i="13"/>
  <c r="E7" i="13"/>
  <c r="E6" i="13"/>
  <c r="E5" i="13"/>
  <c r="E4" i="13"/>
  <c r="E20" i="13" l="1"/>
  <c r="E8" i="13"/>
  <c r="P3" i="12"/>
  <c r="P4" i="12"/>
  <c r="E34" i="13" l="1"/>
  <c r="V24" i="12"/>
  <c r="U24" i="12"/>
  <c r="T24" i="12"/>
  <c r="S24" i="12"/>
  <c r="R24" i="12"/>
  <c r="Q24" i="12"/>
  <c r="O24" i="12"/>
  <c r="N24" i="12"/>
  <c r="L24" i="12"/>
  <c r="K24" i="12"/>
  <c r="J24" i="12"/>
  <c r="H24" i="12"/>
  <c r="F24" i="12"/>
  <c r="D24" i="12"/>
  <c r="V86" i="12"/>
  <c r="U86" i="12"/>
  <c r="T86" i="12"/>
  <c r="S86" i="12"/>
  <c r="R86" i="12"/>
  <c r="Q86" i="12"/>
  <c r="O86" i="12"/>
  <c r="N86" i="12"/>
  <c r="L86" i="12"/>
  <c r="K86" i="12"/>
  <c r="J86" i="12"/>
  <c r="H86" i="12"/>
  <c r="F86" i="12"/>
  <c r="D86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W7" i="12"/>
  <c r="W6" i="12"/>
  <c r="W5" i="12"/>
  <c r="W4" i="12"/>
  <c r="W3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W24" i="12" l="1"/>
  <c r="P24" i="12"/>
  <c r="W85" i="12"/>
  <c r="W84" i="12"/>
  <c r="W83" i="12"/>
  <c r="W82" i="12"/>
  <c r="W81" i="12"/>
  <c r="W80" i="12"/>
  <c r="W79" i="12"/>
  <c r="W78" i="12"/>
  <c r="W77" i="12"/>
  <c r="W76" i="12"/>
  <c r="W75" i="12"/>
  <c r="W74" i="12"/>
  <c r="W73" i="12"/>
  <c r="W72" i="12"/>
  <c r="W71" i="12"/>
  <c r="W70" i="12"/>
  <c r="W69" i="12"/>
  <c r="W68" i="12"/>
  <c r="W67" i="12"/>
  <c r="W66" i="12"/>
  <c r="W65" i="12"/>
  <c r="W64" i="12"/>
  <c r="W63" i="12"/>
  <c r="W62" i="12"/>
  <c r="W61" i="12"/>
  <c r="W60" i="12"/>
  <c r="W59" i="12"/>
  <c r="W58" i="12"/>
  <c r="W57" i="12"/>
  <c r="W56" i="12"/>
  <c r="W55" i="12"/>
  <c r="W54" i="12"/>
  <c r="W53" i="12"/>
  <c r="W52" i="12"/>
  <c r="W51" i="12"/>
  <c r="W50" i="12"/>
  <c r="W49" i="12"/>
  <c r="W48" i="12"/>
  <c r="W47" i="12"/>
  <c r="W46" i="12"/>
  <c r="W45" i="12"/>
  <c r="W44" i="12"/>
  <c r="W43" i="12"/>
  <c r="P85" i="12"/>
  <c r="P84" i="12"/>
  <c r="P83" i="12"/>
  <c r="P82" i="12"/>
  <c r="P81" i="12"/>
  <c r="P80" i="12"/>
  <c r="P79" i="12"/>
  <c r="P78" i="12"/>
  <c r="P77" i="12"/>
  <c r="P76" i="12"/>
  <c r="P75" i="12"/>
  <c r="P74" i="12"/>
  <c r="P73" i="12"/>
  <c r="P72" i="12"/>
  <c r="P71" i="12"/>
  <c r="P70" i="12"/>
  <c r="P69" i="12"/>
  <c r="P68" i="12"/>
  <c r="P67" i="12"/>
  <c r="P66" i="12"/>
  <c r="P65" i="12"/>
  <c r="P64" i="12"/>
  <c r="P63" i="12"/>
  <c r="P62" i="12"/>
  <c r="P61" i="12"/>
  <c r="P60" i="12"/>
  <c r="P59" i="12"/>
  <c r="P58" i="12"/>
  <c r="P57" i="12"/>
  <c r="P56" i="12"/>
  <c r="P55" i="12"/>
  <c r="P54" i="12"/>
  <c r="P53" i="12"/>
  <c r="P52" i="12"/>
  <c r="P51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W27" i="12"/>
  <c r="W42" i="12" l="1"/>
  <c r="W41" i="12"/>
  <c r="W40" i="12"/>
  <c r="W39" i="12"/>
  <c r="W38" i="12"/>
  <c r="W37" i="12"/>
  <c r="W36" i="12"/>
  <c r="W35" i="12"/>
  <c r="W34" i="12"/>
  <c r="W33" i="12"/>
  <c r="W32" i="12"/>
  <c r="W31" i="12"/>
  <c r="W30" i="12"/>
  <c r="W29" i="12"/>
  <c r="P27" i="12"/>
  <c r="P86" i="12" s="1"/>
  <c r="W28" i="12" l="1"/>
  <c r="W86" i="12" s="1"/>
  <c r="S24" i="10"/>
  <c r="W96" i="10" l="1"/>
  <c r="W95" i="10"/>
  <c r="W94" i="10"/>
  <c r="W93" i="10"/>
  <c r="W92" i="10"/>
  <c r="W91" i="10"/>
  <c r="W90" i="10"/>
  <c r="W89" i="10"/>
  <c r="V97" i="10"/>
  <c r="U97" i="10"/>
  <c r="T97" i="10"/>
  <c r="S97" i="10"/>
  <c r="R97" i="10"/>
  <c r="Q97" i="10"/>
  <c r="O97" i="10"/>
  <c r="P97" i="10"/>
  <c r="N97" i="10"/>
  <c r="L97" i="10"/>
  <c r="K97" i="10"/>
  <c r="J97" i="10"/>
  <c r="H97" i="10"/>
  <c r="F97" i="10"/>
  <c r="D97" i="10"/>
  <c r="W97" i="10" l="1"/>
  <c r="P85" i="10"/>
  <c r="P84" i="10"/>
  <c r="P83" i="10"/>
  <c r="P82" i="10"/>
  <c r="P81" i="10"/>
  <c r="P80" i="10"/>
  <c r="P79" i="10"/>
  <c r="P78" i="10"/>
  <c r="P77" i="10"/>
  <c r="P76" i="10"/>
  <c r="P75" i="10"/>
  <c r="P74" i="10"/>
  <c r="P73" i="10"/>
  <c r="P72" i="10"/>
  <c r="P71" i="10"/>
  <c r="P70" i="10"/>
  <c r="P69" i="10"/>
  <c r="P68" i="10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O73" i="10"/>
  <c r="O65" i="10"/>
  <c r="O53" i="10"/>
  <c r="O52" i="10"/>
  <c r="L73" i="10"/>
  <c r="L72" i="10"/>
  <c r="L69" i="10"/>
  <c r="J33" i="11"/>
  <c r="J30" i="11"/>
  <c r="J23" i="11"/>
  <c r="K75" i="10"/>
  <c r="K73" i="10"/>
  <c r="K61" i="10"/>
  <c r="K54" i="10"/>
  <c r="E67" i="11"/>
  <c r="E73" i="11"/>
  <c r="E70" i="11"/>
  <c r="E54" i="11"/>
  <c r="E48" i="11"/>
  <c r="E76" i="11" s="1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9" i="10"/>
  <c r="W8" i="10"/>
  <c r="W7" i="10"/>
  <c r="W6" i="10"/>
  <c r="W5" i="10"/>
  <c r="W4" i="10"/>
  <c r="W3" i="10"/>
  <c r="O47" i="10"/>
  <c r="R20" i="10"/>
  <c r="R11" i="10"/>
  <c r="R10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" i="10"/>
  <c r="P4" i="10"/>
  <c r="P3" i="10"/>
  <c r="J8" i="11"/>
  <c r="J14" i="11"/>
  <c r="E20" i="11"/>
  <c r="K20" i="10"/>
  <c r="K10" i="10"/>
  <c r="E12" i="11"/>
  <c r="K9" i="10"/>
  <c r="E9" i="11"/>
  <c r="S29" i="10"/>
  <c r="R37" i="10"/>
  <c r="R34" i="10"/>
  <c r="J34" i="11" l="1"/>
  <c r="E21" i="11"/>
  <c r="L41" i="10"/>
  <c r="J15" i="11"/>
  <c r="K41" i="10" l="1"/>
  <c r="E42" i="11"/>
  <c r="E36" i="11"/>
  <c r="K40" i="10"/>
  <c r="E32" i="11"/>
  <c r="K35" i="10"/>
  <c r="K34" i="10"/>
  <c r="K33" i="10"/>
  <c r="E28" i="11"/>
  <c r="E25" i="11"/>
  <c r="K30" i="10"/>
  <c r="R29" i="10"/>
  <c r="S28" i="10"/>
  <c r="P46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T27" i="10"/>
  <c r="P27" i="10"/>
  <c r="E44" i="11" l="1"/>
  <c r="R27" i="10"/>
  <c r="Q78" i="8"/>
  <c r="S46" i="10"/>
  <c r="W46" i="10" s="1"/>
  <c r="W85" i="10" l="1"/>
  <c r="W84" i="10"/>
  <c r="W83" i="10"/>
  <c r="W82" i="10"/>
  <c r="W81" i="10"/>
  <c r="W80" i="10"/>
  <c r="W79" i="10"/>
  <c r="W78" i="10"/>
  <c r="W77" i="10"/>
  <c r="W76" i="10"/>
  <c r="W75" i="10"/>
  <c r="W74" i="10"/>
  <c r="W73" i="10"/>
  <c r="W72" i="10"/>
  <c r="W71" i="10"/>
  <c r="W70" i="10"/>
  <c r="W69" i="10"/>
  <c r="W68" i="10"/>
  <c r="W67" i="10"/>
  <c r="W66" i="10"/>
  <c r="W65" i="10"/>
  <c r="W64" i="10"/>
  <c r="W63" i="10"/>
  <c r="W62" i="10"/>
  <c r="W61" i="10"/>
  <c r="W60" i="10"/>
  <c r="W59" i="10"/>
  <c r="W58" i="10"/>
  <c r="W57" i="10"/>
  <c r="W56" i="10"/>
  <c r="W55" i="10"/>
  <c r="W54" i="10"/>
  <c r="W53" i="10"/>
  <c r="W52" i="10"/>
  <c r="W51" i="10"/>
  <c r="W50" i="10"/>
  <c r="Q8" i="8" l="1"/>
  <c r="Q17" i="8"/>
  <c r="W86" i="10"/>
  <c r="V86" i="10"/>
  <c r="U86" i="10"/>
  <c r="T86" i="10"/>
  <c r="S86" i="10"/>
  <c r="R86" i="10"/>
  <c r="Q86" i="10"/>
  <c r="P86" i="10"/>
  <c r="O86" i="10"/>
  <c r="N86" i="10"/>
  <c r="L86" i="10"/>
  <c r="K86" i="10"/>
  <c r="J86" i="10"/>
  <c r="H86" i="10"/>
  <c r="F86" i="10"/>
  <c r="V47" i="10"/>
  <c r="U47" i="10"/>
  <c r="T47" i="10"/>
  <c r="S47" i="10"/>
  <c r="R47" i="10"/>
  <c r="P47" i="10"/>
  <c r="N47" i="10"/>
  <c r="L47" i="10"/>
  <c r="K47" i="10"/>
  <c r="J47" i="10"/>
  <c r="H47" i="10"/>
  <c r="F47" i="10"/>
  <c r="W47" i="10"/>
  <c r="D47" i="10" l="1"/>
  <c r="Q47" i="10"/>
  <c r="W35" i="10"/>
  <c r="W36" i="10"/>
  <c r="W29" i="10"/>
  <c r="W37" i="10"/>
  <c r="W30" i="10"/>
  <c r="W39" i="10"/>
  <c r="W32" i="10"/>
  <c r="W40" i="10"/>
  <c r="W33" i="10"/>
  <c r="W27" i="10"/>
  <c r="W34" i="10"/>
  <c r="W31" i="10"/>
  <c r="V43" i="10"/>
  <c r="U43" i="10"/>
  <c r="T43" i="10"/>
  <c r="S43" i="10"/>
  <c r="R43" i="10"/>
  <c r="P43" i="10"/>
  <c r="O43" i="10"/>
  <c r="N43" i="10"/>
  <c r="L43" i="10"/>
  <c r="K43" i="10"/>
  <c r="J43" i="10"/>
  <c r="H43" i="10"/>
  <c r="F43" i="10"/>
  <c r="W41" i="10"/>
  <c r="V24" i="10"/>
  <c r="U24" i="10"/>
  <c r="T24" i="10"/>
  <c r="R24" i="10"/>
  <c r="P24" i="10"/>
  <c r="O24" i="10"/>
  <c r="N24" i="10"/>
  <c r="L24" i="10"/>
  <c r="K24" i="10"/>
  <c r="J24" i="10"/>
  <c r="H24" i="10"/>
  <c r="F24" i="10"/>
  <c r="D86" i="10" l="1"/>
  <c r="D24" i="10"/>
  <c r="W28" i="10"/>
  <c r="W38" i="10"/>
  <c r="D43" i="10"/>
  <c r="W42" i="10"/>
  <c r="F79" i="8"/>
  <c r="H79" i="8"/>
  <c r="J79" i="8"/>
  <c r="L79" i="8"/>
  <c r="N79" i="8"/>
  <c r="O79" i="8"/>
  <c r="P79" i="8"/>
  <c r="Q4" i="8"/>
  <c r="Q5" i="8"/>
  <c r="Q6" i="8"/>
  <c r="Q7" i="8"/>
  <c r="Q9" i="8"/>
  <c r="Q10" i="8"/>
  <c r="Q11" i="8"/>
  <c r="Q12" i="8"/>
  <c r="Q13" i="8"/>
  <c r="Q14" i="8"/>
  <c r="Q15" i="8"/>
  <c r="Q16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3" i="8"/>
  <c r="J18" i="9"/>
  <c r="J7" i="9"/>
  <c r="J11" i="9" s="1"/>
  <c r="E24" i="9"/>
  <c r="E17" i="9"/>
  <c r="E13" i="9"/>
  <c r="E7" i="9"/>
  <c r="E55" i="9"/>
  <c r="E32" i="9"/>
  <c r="E36" i="9"/>
  <c r="E39" i="9"/>
  <c r="E45" i="9"/>
  <c r="E52" i="9"/>
  <c r="F40" i="8"/>
  <c r="H40" i="8"/>
  <c r="J40" i="8"/>
  <c r="K40" i="8"/>
  <c r="L40" i="8"/>
  <c r="R79" i="8"/>
  <c r="S79" i="8"/>
  <c r="T79" i="8"/>
  <c r="U79" i="8"/>
  <c r="V79" i="8"/>
  <c r="W44" i="8"/>
  <c r="W45" i="8"/>
  <c r="W46" i="8"/>
  <c r="W47" i="8"/>
  <c r="W48" i="8"/>
  <c r="W49" i="8"/>
  <c r="W50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69" i="8"/>
  <c r="W70" i="8"/>
  <c r="W71" i="8"/>
  <c r="W72" i="8"/>
  <c r="W73" i="8"/>
  <c r="W74" i="8"/>
  <c r="W75" i="8"/>
  <c r="W76" i="8"/>
  <c r="W77" i="8"/>
  <c r="W78" i="8"/>
  <c r="W43" i="8"/>
  <c r="N40" i="8"/>
  <c r="O40" i="8"/>
  <c r="P40" i="8"/>
  <c r="R40" i="8"/>
  <c r="S40" i="8"/>
  <c r="T40" i="8"/>
  <c r="U40" i="8"/>
  <c r="V40" i="8"/>
  <c r="W4" i="8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3" i="8"/>
  <c r="Q40" i="8" l="1"/>
  <c r="E56" i="9"/>
  <c r="W79" i="8"/>
  <c r="Q79" i="8"/>
  <c r="Q24" i="10"/>
  <c r="W43" i="10"/>
  <c r="W24" i="10"/>
  <c r="Q43" i="10"/>
  <c r="W40" i="8"/>
  <c r="D40" i="8"/>
  <c r="D79" i="8"/>
</calcChain>
</file>

<file path=xl/sharedStrings.xml><?xml version="1.0" encoding="utf-8"?>
<sst xmlns="http://schemas.openxmlformats.org/spreadsheetml/2006/main" count="2304" uniqueCount="450">
  <si>
    <t>IBM / IBD /IBS Polys 2017</t>
  </si>
  <si>
    <t xml:space="preserve"> Operating Areas</t>
  </si>
  <si>
    <t>(see Harvest Data sheet for RESULTS Info)</t>
  </si>
  <si>
    <t>(see Harvest Data sheet for Block Info)</t>
  </si>
  <si>
    <t xml:space="preserve">  Parks</t>
  </si>
  <si>
    <t>Private Land</t>
  </si>
  <si>
    <t xml:space="preserve"> Operable Land Base</t>
  </si>
  <si>
    <t>OGMA</t>
  </si>
  <si>
    <t>Pli &gt;= 60 years old</t>
  </si>
  <si>
    <t>PLI &lt; 60 years</t>
  </si>
  <si>
    <t>Node #</t>
  </si>
  <si>
    <t>FHF</t>
  </si>
  <si>
    <t>SEVERITY</t>
  </si>
  <si>
    <t>Total Hectares</t>
  </si>
  <si>
    <t>Operating Area 1</t>
  </si>
  <si>
    <t>operating area 1 ha</t>
  </si>
  <si>
    <t>Operating Area 2</t>
  </si>
  <si>
    <t>operating area 2 ha</t>
  </si>
  <si>
    <t>Operating Area 3</t>
  </si>
  <si>
    <t>operating area 3 ha</t>
  </si>
  <si>
    <t>TOTAL RESULTS Ha</t>
  </si>
  <si>
    <t>Total Issued Blk Ha</t>
  </si>
  <si>
    <t>Park</t>
  </si>
  <si>
    <t>Park ha</t>
  </si>
  <si>
    <t>Private Land Ha</t>
  </si>
  <si>
    <t>Operable  (Ha)</t>
  </si>
  <si>
    <t>Inoperable (Ha)</t>
  </si>
  <si>
    <t>Pli (Ha) 67-100%</t>
  </si>
  <si>
    <t>Pli (Ha) 33-66%</t>
  </si>
  <si>
    <t>Pli (Ha) 1-32%</t>
  </si>
  <si>
    <t>Pli (Ha) 33%+</t>
  </si>
  <si>
    <t>Pli (Ha) 0%</t>
  </si>
  <si>
    <t>IBM</t>
  </si>
  <si>
    <t>L</t>
  </si>
  <si>
    <t>BCTS Kootenay</t>
  </si>
  <si>
    <t>N2R 6 SCHEDULE_B</t>
  </si>
  <si>
    <t>GRANBY PARK</t>
  </si>
  <si>
    <t>Interfor A18969</t>
  </si>
  <si>
    <t>M</t>
  </si>
  <si>
    <t>Interfor A20192</t>
  </si>
  <si>
    <t>S</t>
  </si>
  <si>
    <t>T</t>
  </si>
  <si>
    <t>N2R A SCHEDULE_B</t>
  </si>
  <si>
    <t>W1623 A SCHEDULE_B</t>
  </si>
  <si>
    <t>K4E 12 SCHEDULE_B</t>
  </si>
  <si>
    <t>W1626 1 SCHEDULE_A</t>
  </si>
  <si>
    <t>W1469 A SCHEDULE_B</t>
  </si>
  <si>
    <t>N2R 2B SCHEDULE_B</t>
  </si>
  <si>
    <t>N2R 19 SCHEDULE_B</t>
  </si>
  <si>
    <t>CONKLE LAKE PARK</t>
  </si>
  <si>
    <t>GLANDSTONE PARK</t>
  </si>
  <si>
    <t>N2R 4 SCHEDULE_B</t>
  </si>
  <si>
    <t>TOTAL</t>
  </si>
  <si>
    <t>Fd &gt;= 60 years old</t>
  </si>
  <si>
    <t>Fd (Ha) 67-100%</t>
  </si>
  <si>
    <t>Fd(Ha) 33-66%</t>
  </si>
  <si>
    <t>Fd (Ha) 1-32%</t>
  </si>
  <si>
    <t>Fd (Ha) 33%+</t>
  </si>
  <si>
    <t>Fd  (Ha) 0%</t>
  </si>
  <si>
    <t>IBD</t>
  </si>
  <si>
    <t>K4E 7 SCHEDULE_B</t>
  </si>
  <si>
    <t>W1775 1 SCHEDULE_B</t>
  </si>
  <si>
    <t>W1622 1 SCHEDULE_B</t>
  </si>
  <si>
    <t>K4E 20 SCHEDULE_B</t>
  </si>
  <si>
    <t>W1766 A SCHEDULE_B</t>
  </si>
  <si>
    <t>W1769 A SCHEDULE_B</t>
  </si>
  <si>
    <t>W2075 A SCHEDULE_B</t>
  </si>
  <si>
    <t>K4E 23/24 SCHEDULE_B</t>
  </si>
  <si>
    <t>2017 IBM IBD Boundary TSA - RESULTS Openings &amp; Issued Blocks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</si>
  <si>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</si>
  <si>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</si>
  <si>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</si>
  <si>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</si>
  <si>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</si>
  <si>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</si>
  <si>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</si>
  <si>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>A42659  Blk 1</t>
  </si>
  <si>
    <t>A94945 BLK 4</t>
  </si>
  <si>
    <t>A44931  Blk 1</t>
  </si>
  <si>
    <t>A93570 BLK 1</t>
  </si>
  <si>
    <t>A27304  Blk 1</t>
  </si>
  <si>
    <t>A93570 BLK 2</t>
  </si>
  <si>
    <t>A18970 CP 061  Blk KEL023</t>
  </si>
  <si>
    <t>A95030 BLK 1</t>
  </si>
  <si>
    <t>A18969 CP 149  Blk 3</t>
  </si>
  <si>
    <t>A93521 BLK 2</t>
  </si>
  <si>
    <t>A18969 CP 204  Blk 5</t>
  </si>
  <si>
    <t>TFL8 CP 06N BLK 06N-01</t>
  </si>
  <si>
    <t>W1623 CP A  Blk 3</t>
  </si>
  <si>
    <t>A92598  Blk 5</t>
  </si>
  <si>
    <t>A93215 BLK 1</t>
  </si>
  <si>
    <t>A92598  Blk 3</t>
  </si>
  <si>
    <t>A49375  Blk 1C</t>
  </si>
  <si>
    <t>A49375  Blk 1B</t>
  </si>
  <si>
    <t>TFL8 CP 06L BLK 06L-03</t>
  </si>
  <si>
    <t>A18969 CP 104  Blk 11</t>
  </si>
  <si>
    <t>A18969 CP 104  Blk 2</t>
  </si>
  <si>
    <t>-412980000</t>
  </si>
  <si>
    <t>A89824 CP 003  Blk FV001</t>
  </si>
  <si>
    <t>TFL8 CP 6F  Blk 4</t>
  </si>
  <si>
    <t>A18969 CP 236  Blk 1</t>
  </si>
  <si>
    <t>A18969 CP 259  Blk 1</t>
  </si>
  <si>
    <t>A18969 CP 117  Blk 1</t>
  </si>
  <si>
    <t>TFL8 CP 7E  Blk 6</t>
  </si>
  <si>
    <t>A18969 CP 424  Blk 424-02</t>
  </si>
  <si>
    <t>TFL8 CP 7E  Blk 7</t>
  </si>
  <si>
    <t>TFL8 CP 7E  Blk 3</t>
  </si>
  <si>
    <t>-412210000</t>
  </si>
  <si>
    <t>A53503  Blk 2</t>
  </si>
  <si>
    <t>A53503  Blk 7</t>
  </si>
  <si>
    <t>A18969 CP 98  Blk 5</t>
  </si>
  <si>
    <t>A18969 CP 169  Blk 4</t>
  </si>
  <si>
    <t>A62893  Blk 1</t>
  </si>
  <si>
    <t>TFL8 CP 10B  Blk 13</t>
  </si>
  <si>
    <t>TFL8 CP 7F  Blk 2</t>
  </si>
  <si>
    <t>TFL8 CP 7E  Blk 10</t>
  </si>
  <si>
    <t>A93590  Blk 8</t>
  </si>
  <si>
    <t>A27319  Blk 1</t>
  </si>
  <si>
    <t>A13589  Blk 1</t>
  </si>
  <si>
    <t>TFL8 CP 7H  Blk 20</t>
  </si>
  <si>
    <t>A18969 CP 68  Blk 8</t>
  </si>
  <si>
    <t>A18969 CP 448  Blk 448-50</t>
  </si>
  <si>
    <t>A18969 CP 117  Blk 3</t>
  </si>
  <si>
    <t>IBM / IBD / IBS / NW Polys 2018</t>
  </si>
  <si>
    <t>Includes species codes PL and PLI</t>
  </si>
  <si>
    <t>Operating Area 1 (Map_Label)</t>
  </si>
  <si>
    <t>GLADSTONE PARK</t>
  </si>
  <si>
    <t>Fd &lt; 60 years</t>
  </si>
  <si>
    <t>Includes species codes FD and FDI</t>
  </si>
  <si>
    <t>N2R 22E SCHEDULE_B</t>
  </si>
  <si>
    <t>N2R 22G SCHEDULE_B</t>
  </si>
  <si>
    <t>IBS</t>
  </si>
  <si>
    <t>Blowdown &gt;= 5 Ha</t>
  </si>
  <si>
    <t>NW</t>
  </si>
  <si>
    <t>W0470 B SCHEDULE_B</t>
  </si>
  <si>
    <t>Node # if applies</t>
  </si>
  <si>
    <t>Fire Num</t>
  </si>
  <si>
    <t>Date</t>
  </si>
  <si>
    <t>N60057</t>
  </si>
  <si>
    <t>N60279</t>
  </si>
  <si>
    <t>N61615</t>
  </si>
  <si>
    <t>N62464</t>
  </si>
  <si>
    <t>N62556</t>
  </si>
  <si>
    <t>N62729</t>
  </si>
  <si>
    <t>N62623</t>
  </si>
  <si>
    <t>N52571</t>
  </si>
  <si>
    <t>2018 IBM IBD IBS NW Boundary TSA - RESULTS Openings &amp; Issued Blocks</t>
  </si>
  <si>
    <t>RESULTS*</t>
  </si>
  <si>
    <t>ISSUED BLKS (No harvest data submitted to RESULTS)**</t>
  </si>
  <si>
    <t>*only for when there are AOS_RESULTS_Select_Boundary_2019 values for a node</t>
  </si>
  <si>
    <t>Block Label (FOREST_FIL)</t>
  </si>
  <si>
    <t>uses Forest Fil and Cut_Block for Opening Block column, use Disturbance for Harvest Start column</t>
  </si>
  <si>
    <t>TFL8 Blk 01P-02</t>
  </si>
  <si>
    <t>A18969 Blk 400-04</t>
  </si>
  <si>
    <t>**only for when there are AOS_IssuedBlks_Select_Boundary_2019 values for a node</t>
  </si>
  <si>
    <t>A18969 Blk 451-08</t>
  </si>
  <si>
    <t>A18969 Blk 435-02</t>
  </si>
  <si>
    <t>uses Forest Fil and Cut_Block for Block Label column</t>
  </si>
  <si>
    <t>A02073</t>
  </si>
  <si>
    <t>A18969 Blk 451-23</t>
  </si>
  <si>
    <t>A18969 Blk 1</t>
  </si>
  <si>
    <t>A18969 Blk 449-01</t>
  </si>
  <si>
    <t>TFL8 Blk 07N-24</t>
  </si>
  <si>
    <t>A93975 Blk 1</t>
  </si>
  <si>
    <t>TFL8 Blk 07N-08</t>
  </si>
  <si>
    <t>A89003 Blk 10</t>
  </si>
  <si>
    <t>A54505</t>
  </si>
  <si>
    <t>A93051 Blk 9</t>
  </si>
  <si>
    <t>A18969</t>
  </si>
  <si>
    <t>TA0443 Blk 5</t>
  </si>
  <si>
    <t>A18970</t>
  </si>
  <si>
    <t>TA0443 Blk 3</t>
  </si>
  <si>
    <t>TA0443 Blk 4</t>
  </si>
  <si>
    <t>TA0443 Blk 8</t>
  </si>
  <si>
    <t>A24849 Blk 1</t>
  </si>
  <si>
    <t>TFL8 Blk 03J-01</t>
  </si>
  <si>
    <t>TFL8 Blk 2</t>
  </si>
  <si>
    <t>A93592 Blk 4</t>
  </si>
  <si>
    <t>A96364 Blk 1</t>
  </si>
  <si>
    <t>A45653 Blk 1</t>
  </si>
  <si>
    <t>A56698 Blk 1</t>
  </si>
  <si>
    <t>A93592 Blk 3</t>
  </si>
  <si>
    <t>A18969 Blk 3</t>
  </si>
  <si>
    <t>A90275 Blk 1R</t>
  </si>
  <si>
    <t>TA0443Blk 2</t>
  </si>
  <si>
    <t>A18969 Blk 2</t>
  </si>
  <si>
    <t>TFL8 Blk 4</t>
  </si>
  <si>
    <t>A34054 Blk 1</t>
  </si>
  <si>
    <t>W0470</t>
  </si>
  <si>
    <t>A58989 Blk 1</t>
  </si>
  <si>
    <t>A53498 Blk 1</t>
  </si>
  <si>
    <t>A63469 Blk 1</t>
  </si>
  <si>
    <t>A90241 Blk 2</t>
  </si>
  <si>
    <t>A69757 Blk 2</t>
  </si>
  <si>
    <t>A42489 Blk 2</t>
  </si>
  <si>
    <t>A90241 Blk 3</t>
  </si>
  <si>
    <t>A53483 Blk 2</t>
  </si>
  <si>
    <t>A42662 Blk 1</t>
  </si>
  <si>
    <t>A53483 Blk 1</t>
  </si>
  <si>
    <t>A53483 Blk 3</t>
  </si>
  <si>
    <t>A18969 Blk 5</t>
  </si>
  <si>
    <t>A45676 Blk 1</t>
  </si>
  <si>
    <t>A30204 Blk 1</t>
  </si>
  <si>
    <t>A84807 Blk 5</t>
  </si>
  <si>
    <t>IBM / IBD Polys 2019</t>
  </si>
  <si>
    <t>NOTE:</t>
  </si>
  <si>
    <t>BCTS - Kootenay Rock/Rice</t>
  </si>
  <si>
    <t>Nodes in Interfor</t>
  </si>
  <si>
    <t>TFL 8 whose</t>
  </si>
  <si>
    <t>hazard classification</t>
  </si>
  <si>
    <t>BCTS - Kootenay Gable/G.</t>
  </si>
  <si>
    <t>was NTA had no data.</t>
  </si>
  <si>
    <t>BC TS - Kootenay Gable/G.</t>
  </si>
  <si>
    <t>These operating areas</t>
  </si>
  <si>
    <t>Tolko Industries Ltd. A18970</t>
  </si>
  <si>
    <t>will be highligted in red,</t>
  </si>
  <si>
    <t>and the NULL area will be</t>
  </si>
  <si>
    <t xml:space="preserve">counted under the </t>
  </si>
  <si>
    <t>Fd (Ha) 0% column.</t>
  </si>
  <si>
    <t>West Boundary Community Forest K4E</t>
  </si>
  <si>
    <t>A18969 whose</t>
  </si>
  <si>
    <t>was NIL had no data.</t>
  </si>
  <si>
    <t>will be highligted in blue,</t>
  </si>
  <si>
    <t>INTERFOR A18969</t>
  </si>
  <si>
    <t>Weyerhaeuser Company Ltd. TFL 59</t>
  </si>
  <si>
    <t>BCTS, same explanation</t>
  </si>
  <si>
    <t>Tolko, same explanation</t>
  </si>
  <si>
    <t>INTERFOR TFL8</t>
  </si>
  <si>
    <t>BC Timber Sales - Kootenay Nicolson</t>
  </si>
  <si>
    <t>BC Timber Sales - Kootenay Gable/G.</t>
  </si>
  <si>
    <t>Some Nodes in Interfor</t>
  </si>
  <si>
    <t>Some Nodes whose</t>
  </si>
  <si>
    <t>was NIL had no data due</t>
  </si>
  <si>
    <t>to being private, park, R/W, or</t>
  </si>
  <si>
    <t>because its bare earth/rocky.</t>
  </si>
  <si>
    <t>BC Timber Sales - Kootenay Gloucester</t>
  </si>
  <si>
    <t>These NULL areas will</t>
  </si>
  <si>
    <t xml:space="preserve">be counted under the </t>
  </si>
  <si>
    <t>BC Timber Sales - Kootenay Rock/Rice</t>
  </si>
  <si>
    <t>2019 IBM IBD Boundary TSA - RESULTS Openings &amp; Issued Blocks</t>
  </si>
  <si>
    <t>*only for when there are AOS_RESULTS_Select_Boundary_2020 values for a node</t>
  </si>
  <si>
    <t>Make sure to use Forest Fil, Cut_Pe and Cut_Block for Opening Block column, use Disturbance for Harvest Start column</t>
  </si>
  <si>
    <t>A21226 Blk 1</t>
  </si>
  <si>
    <t>A93533 Blk 5</t>
  </si>
  <si>
    <t>**only for when there are AOS_IssuedBlks_Select_Boundary_2020 values for a node</t>
  </si>
  <si>
    <t>Make sure to use Forest Fil, Cut_Pe and Cut_Block for Block Label column</t>
  </si>
  <si>
    <t>A93215   Blk 1</t>
  </si>
  <si>
    <t>A90314 Blk 5</t>
  </si>
  <si>
    <t>A91985   Blk 1</t>
  </si>
  <si>
    <t>TFL8 CP 07N Blk 07N-01</t>
  </si>
  <si>
    <t>A22012 Blk 1</t>
  </si>
  <si>
    <t xml:space="preserve">A20173 CP 2   </t>
  </si>
  <si>
    <t>&lt;Null&gt;</t>
  </si>
  <si>
    <t>A18969 CP 30  Blk 14</t>
  </si>
  <si>
    <t>A31613 Blk 1</t>
  </si>
  <si>
    <t>A93651   Blk 1</t>
  </si>
  <si>
    <t>A18970 CP 31  Blk 4</t>
  </si>
  <si>
    <t>A45703 Blk 2</t>
  </si>
  <si>
    <t>A18970 CP 43 Blk KEL013</t>
  </si>
  <si>
    <t>A18969 CP 75  Blk 4</t>
  </si>
  <si>
    <t>A18969 CP 454 Blk 454-11</t>
  </si>
  <si>
    <t>W1623 CP CC  Blk 1</t>
  </si>
  <si>
    <t>A18969 CP 488 Blk 488-07</t>
  </si>
  <si>
    <t>A89003 CP 44  Blk 3</t>
  </si>
  <si>
    <t>A18970 CP 15  Blk G</t>
  </si>
  <si>
    <t>A89003 CP 44  Blk 2</t>
  </si>
  <si>
    <t>A18970 CP 31  Blk 2</t>
  </si>
  <si>
    <t>A18969 CP 74  Blk 2</t>
  </si>
  <si>
    <t>A18970 CP 61  Blk KEL023</t>
  </si>
  <si>
    <t>A18970 CP 39  Blk 6</t>
  </si>
  <si>
    <t xml:space="preserve">      </t>
  </si>
  <si>
    <t>A18969 CP 143  Blk 21</t>
  </si>
  <si>
    <t>TFL8 CP 8C Blk 16</t>
  </si>
  <si>
    <t>TFL8 CP 8C Blk 11</t>
  </si>
  <si>
    <t xml:space="preserve">     </t>
  </si>
  <si>
    <t>W0474 CP C Blk 1</t>
  </si>
  <si>
    <t>A24835 Blk 1</t>
  </si>
  <si>
    <t>TFL8 CP 6D Blk 21</t>
  </si>
  <si>
    <t>A18969 CP 172 Blk 1</t>
  </si>
  <si>
    <t>TFL8 CP 6H Blk 2</t>
  </si>
  <si>
    <t>W1432 CP D Blk 1</t>
  </si>
  <si>
    <t>TFL8 CP 5C Blk 8</t>
  </si>
  <si>
    <t>A76756 Blk 1</t>
  </si>
  <si>
    <t>W0471 CP EE Blk 2</t>
  </si>
  <si>
    <t>W0471 CP D Blk 1</t>
  </si>
  <si>
    <t>A18969 CP 277 Blk 4</t>
  </si>
  <si>
    <t>A07504 CP L Blk 99</t>
  </si>
  <si>
    <t>W1769 CP A Blk 1</t>
  </si>
  <si>
    <t>TFL8 CP 7H Blk 7</t>
  </si>
  <si>
    <t>A84749 Blk 5</t>
  </si>
  <si>
    <t>TFL8 CP 7H Blk 15</t>
  </si>
  <si>
    <t>A18969 CP 176 Blk 5</t>
  </si>
  <si>
    <t>A18969 CP 176 Blk 4</t>
  </si>
  <si>
    <t>TFL8 CP 7F Blk 2</t>
  </si>
  <si>
    <t>TFL8 CP 7H Blk 20</t>
  </si>
  <si>
    <t>A18969 CP 43 Blk 7</t>
  </si>
  <si>
    <t>A60040 Blk 1</t>
  </si>
  <si>
    <t>A53503 Blk 8</t>
  </si>
  <si>
    <t>TFL8 CP 7C Blk 6</t>
  </si>
  <si>
    <t>TFL8 CP 5G Blk 17</t>
  </si>
  <si>
    <t>A84696 Blk 2</t>
  </si>
  <si>
    <t>A48853 Blk 6</t>
  </si>
  <si>
    <t>A91829 CP 87 Blk KEL002</t>
  </si>
  <si>
    <t>TFL8 CP 3F Blk 4</t>
  </si>
  <si>
    <t>TFL8 CP 3L Blk 3</t>
  </si>
  <si>
    <t>TFL8 CP 3H Blk 4</t>
  </si>
  <si>
    <t>A18969 CP 6</t>
  </si>
  <si>
    <t>IBM / IBD /IBS/NW Polys 2020</t>
  </si>
  <si>
    <t xml:space="preserve">FD </t>
  </si>
  <si>
    <t>Fd (Ha) 5-33%</t>
  </si>
  <si>
    <t>Fd (Ha) 0-5%</t>
  </si>
  <si>
    <t>Fd (Ha) 0%</t>
  </si>
  <si>
    <t>Woodlot W0479</t>
  </si>
  <si>
    <t>Woodlot W2074</t>
  </si>
  <si>
    <t>NKMIP FORESTRY CORPORATION N2R</t>
  </si>
  <si>
    <t>Woodlot W2075</t>
  </si>
  <si>
    <t>BC Timber Sales - Kootenay West K.</t>
  </si>
  <si>
    <t>Woodlot W1769</t>
  </si>
  <si>
    <t>Woodlot W1468</t>
  </si>
  <si>
    <t>Woodlot W1624</t>
  </si>
  <si>
    <t>Woodlot W1774</t>
  </si>
  <si>
    <t>Woodlot W1771</t>
  </si>
  <si>
    <t>INTERFOR TFL23</t>
  </si>
  <si>
    <t>A45629 CP  Blk1</t>
  </si>
  <si>
    <t>A94327 CP  Blk4</t>
  </si>
  <si>
    <t>*only for when there are AOS_RESULTS_Select_Revelstoke_2020 values for a node</t>
  </si>
  <si>
    <t>A51907 CP  Blk1</t>
  </si>
  <si>
    <t>A93215 CP  Blk1</t>
  </si>
  <si>
    <t>W2074 CPBB Blk1</t>
  </si>
  <si>
    <t>TFL8 CP07Q Blk07Q-09</t>
  </si>
  <si>
    <t>uses Forest Fil, Cut Permit and Cut_Block for Opening Block column, use Disturbance for Harvest Start column</t>
  </si>
  <si>
    <t>TFL8 CP07P Blk07P-09</t>
  </si>
  <si>
    <t>**only for when there are AOS_IssuedBlks_Select_Revelstoke_2020 values for a node</t>
  </si>
  <si>
    <t>TA0075 CP  Blk4</t>
  </si>
  <si>
    <t>TFL8 CP14L Blk14L-78</t>
  </si>
  <si>
    <t>TFL8 CP14L Blk14L-79</t>
  </si>
  <si>
    <t>Example of the Concat funtion to aid in merging cell contents for Opening Block column</t>
  </si>
  <si>
    <t>&lt;Null&gt; CP&lt;Null&gt; Blk&lt;Null&gt;</t>
  </si>
  <si>
    <t>A02073 CP32 Blk1</t>
  </si>
  <si>
    <t>TFL8 CP7K Blk18</t>
  </si>
  <si>
    <t>A91985 CP  Blk1</t>
  </si>
  <si>
    <t>TFL8 CP999 Blk999-02N</t>
  </si>
  <si>
    <t>TFL8 CP07N Blk07N-05</t>
  </si>
  <si>
    <t>TFL8 CP07N Blk07N-01</t>
  </si>
  <si>
    <t>A18969 CP67 Blk1B</t>
  </si>
  <si>
    <t>TFL8 CP8B Blk1B</t>
  </si>
  <si>
    <t>A18969 CP60 Blk1</t>
  </si>
  <si>
    <t>TFL8 CP07P Blk07P-06</t>
  </si>
  <si>
    <t>A18969 CP63 Blk2</t>
  </si>
  <si>
    <t>A02073 CP  Blk&lt;Null&gt;</t>
  </si>
  <si>
    <t>A18969 CP19 Blk62</t>
  </si>
  <si>
    <t>TFL8 CP07P Blk07P-10</t>
  </si>
  <si>
    <t>A18969 CP450 Blk450-14</t>
  </si>
  <si>
    <t>TFL8 CP5C Blk8</t>
  </si>
  <si>
    <t>TFL8 CP5G Blk17</t>
  </si>
  <si>
    <t>TFL8 CP01N Blk01N-21</t>
  </si>
  <si>
    <t>TFL8 CP01J Blk01J-01</t>
  </si>
  <si>
    <t>TFL8 CP1B Blk1</t>
  </si>
  <si>
    <t>A20168 CP  BlkA</t>
  </si>
  <si>
    <t>A68731 CP  Blk2</t>
  </si>
  <si>
    <t>A76152 CP  Blk3</t>
  </si>
  <si>
    <t>A42638 CP  Blk1</t>
  </si>
  <si>
    <t>TFL8 CP09L Blk09L-07</t>
  </si>
  <si>
    <t>A42493 CP  Blk1</t>
  </si>
  <si>
    <t>A18969 CP117 Blk1</t>
  </si>
  <si>
    <t>A18969 CP203 Blk6</t>
  </si>
  <si>
    <t>A18969 CP203 Blk4</t>
  </si>
  <si>
    <t>TFL8 CP999 Blk92X</t>
  </si>
  <si>
    <t>W0479 CPB Blk2</t>
  </si>
  <si>
    <t>W0479 CPB Blk1</t>
  </si>
  <si>
    <t>W0479 CPDD BlkA</t>
  </si>
  <si>
    <t>A45629 CP  Blk2</t>
  </si>
  <si>
    <t>K4E CP3 BlkSN003</t>
  </si>
  <si>
    <t>A18969 CP29 Blk2</t>
  </si>
  <si>
    <t>A18969 CP176 Blk7</t>
  </si>
  <si>
    <t>TFL8 CP7H Blk15</t>
  </si>
  <si>
    <t>TFL8 CP7H Blk7</t>
  </si>
  <si>
    <t>TFL8 CP7D Blk4</t>
  </si>
  <si>
    <t>TFL8 CP7F Blk2</t>
  </si>
  <si>
    <t>TFL8 CP7E Blk7</t>
  </si>
  <si>
    <t>TFL8 CP7H Blk20</t>
  </si>
  <si>
    <t>TFL8 CP7H Blk21</t>
  </si>
  <si>
    <t>W1468 CPD Blk5</t>
  </si>
  <si>
    <t>TFL8 CP6H Blk2</t>
  </si>
  <si>
    <t>A18969 CP121 Blk7</t>
  </si>
  <si>
    <t>A18969 CP127 Blk&lt;Null&gt;</t>
  </si>
  <si>
    <t>A18969 CP127 Blk1B</t>
  </si>
  <si>
    <t>A02121 CP  Blk&lt;Null&gt;</t>
  </si>
  <si>
    <t>TFL8 CP6D Blk20</t>
  </si>
  <si>
    <t>TFL8 CP6J Blk3</t>
  </si>
  <si>
    <t>TFL8 CP6J Blk4</t>
  </si>
  <si>
    <t>A18969 CP104 Blk4A</t>
  </si>
  <si>
    <t>A18969 CP293 Blk2</t>
  </si>
  <si>
    <t>A18969 CP202 Blk2</t>
  </si>
  <si>
    <t>A18969 CP239 Blk1</t>
  </si>
  <si>
    <t>A18969 CP118 Blk10</t>
  </si>
  <si>
    <t>W1771 CPDD Blk1</t>
  </si>
  <si>
    <t>A02121 CP13 BlkA</t>
  </si>
  <si>
    <t>A23435 CP  BlkB</t>
  </si>
  <si>
    <t>A18969 CP96 Blk3</t>
  </si>
  <si>
    <t>A07504 CPL Blk89</t>
  </si>
  <si>
    <t>A54507 CP  Blk7</t>
  </si>
  <si>
    <t>FD Susceptibiliy</t>
  </si>
  <si>
    <t>Woodlot W0470</t>
  </si>
  <si>
    <t>JEWEL LAKE PARK</t>
  </si>
  <si>
    <t xml:space="preserve">TOTAL </t>
  </si>
  <si>
    <t>IBB</t>
  </si>
  <si>
    <t>A18969 CP203 BLK6</t>
  </si>
  <si>
    <t>TFL8 CP07P BLK07P-02</t>
  </si>
  <si>
    <t>*only for when there are AOS_RESULTS_Select_Arrow_2020 values for a node</t>
  </si>
  <si>
    <t>A84908 CP  BLK5</t>
  </si>
  <si>
    <t>TFL8 CP07N BLK07N-01</t>
  </si>
  <si>
    <t>A18969 CP203 BLK4</t>
  </si>
  <si>
    <t>A96825 CP  BLK1</t>
  </si>
  <si>
    <t>**Example of the Concat funtion to aid in merginf cell contents for Opening Block column</t>
  </si>
  <si>
    <t>A96841 CP  BLK1</t>
  </si>
  <si>
    <t>A94945 CP  BLK4</t>
  </si>
  <si>
    <t>A18969 CP96 BLK7B</t>
  </si>
  <si>
    <t>A18969 CP96 BLK5</t>
  </si>
  <si>
    <t>**only for when there are AOS_IssuedBlks_Select_"Revelstoke"_2020 values for a node</t>
  </si>
  <si>
    <t>TFL8 CP7D BLK2</t>
  </si>
  <si>
    <t>W0474 CPDD BLK1</t>
  </si>
  <si>
    <t>TFL8 CP8C BLK12</t>
  </si>
  <si>
    <t>TFL8 CP7H BLK15</t>
  </si>
  <si>
    <t>A17698 CP  BLK1</t>
  </si>
  <si>
    <t>TFL8 CP6F BLK4</t>
  </si>
  <si>
    <t>TFL8 CP6F BLK2</t>
  </si>
  <si>
    <t>A18969 CP366 BLK366-06</t>
  </si>
  <si>
    <t>A90506 CP  BLK2</t>
  </si>
  <si>
    <t>A18969 CP96 BLK3</t>
  </si>
  <si>
    <t>A27212 CP  BLK1</t>
  </si>
  <si>
    <t>A82567 CP  BLK2</t>
  </si>
  <si>
    <t>A27304 CP  BLK1</t>
  </si>
  <si>
    <t>A45666 CP  BLK1</t>
  </si>
  <si>
    <t>A92600 CP  BLK3</t>
  </si>
  <si>
    <t>Total</t>
  </si>
  <si>
    <t>K4E CP4 BLKER001</t>
  </si>
  <si>
    <t xml:space="preserve"> CP BLK</t>
  </si>
  <si>
    <t>A18969 CP330 BLK11</t>
  </si>
  <si>
    <t>A18969 CP198 BLK1</t>
  </si>
  <si>
    <t>A18969 CP329 BLK10</t>
  </si>
  <si>
    <t>TFL23 CP329 BLK0080</t>
  </si>
  <si>
    <t>A18969 CP333 BLKB04-0021</t>
  </si>
  <si>
    <t>TFL8 CP9H BLK13</t>
  </si>
  <si>
    <t>TFL8 CP9H BLK4</t>
  </si>
  <si>
    <t>A18969 CP358 BLK358-01</t>
  </si>
  <si>
    <t>A18969 CP360 BLK360-04</t>
  </si>
  <si>
    <t>A18969 CP213 BLK12</t>
  </si>
  <si>
    <t>2020 IBM IBD IBS NW Boundary TSA - RESULTS Openings &amp; Issued Blocks</t>
  </si>
  <si>
    <t>2021 IBM IBD IBS NW Boundary TSA - RESULTS Openings &amp; Issued Blocks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</si>
</sst>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9"/>
      <color theme="3" tint="0.3999755851924192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7" tint="0.3999755851924192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b/>
      <sz val="9"/>
      <color theme="7" tint="0.3999755851924192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A9694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3" fillId="4" borderId="0" applyNumberFormat="0" applyBorder="0" applyAlignment="0" applyProtection="0"/>
    <xf numFmtId="0" fontId="31" fillId="2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7" fillId="0" borderId="6" applyNumberFormat="0" applyFill="0" applyAlignment="0" applyProtection="0"/>
    <xf numFmtId="0" fontId="32" fillId="3" borderId="0" applyNumberFormat="0" applyBorder="0" applyAlignment="0" applyProtection="0"/>
    <xf numFmtId="0" fontId="36" fillId="6" borderId="4" applyNumberFormat="0" applyAlignment="0" applyProtection="0"/>
    <xf numFmtId="0" fontId="30" fillId="0" borderId="0"/>
    <xf numFmtId="0" fontId="38" fillId="7" borderId="7" applyNumberFormat="0" applyAlignment="0" applyProtection="0"/>
    <xf numFmtId="0" fontId="39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41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41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504">
    <xf numFmtId="0" fontId="0" fillId="0" borderId="0" xfId="0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64" fontId="19" fillId="33" borderId="11" xfId="0" applyNumberFormat="1" applyFont="1" applyFill="1" applyBorder="1" applyAlignment="1">
      <alignment horizontal="center" vertical="center" wrapText="1"/>
    </xf>
    <xf numFmtId="164" fontId="0" fillId="33" borderId="11" xfId="0" applyNumberFormat="1" applyFill="1" applyBorder="1" applyAlignment="1">
      <alignment horizontal="center"/>
    </xf>
    <xf numFmtId="1" fontId="25" fillId="33" borderId="10" xfId="0" applyNumberFormat="1" applyFon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/>
    </xf>
    <xf numFmtId="164" fontId="0" fillId="33" borderId="10" xfId="0" applyNumberFormat="1" applyFill="1" applyBorder="1" applyAlignment="1">
      <alignment horizontal="center"/>
    </xf>
    <xf numFmtId="164" fontId="0" fillId="35" borderId="11" xfId="0" applyNumberFormat="1" applyFill="1" applyBorder="1" applyAlignment="1">
      <alignment horizontal="center"/>
    </xf>
    <xf numFmtId="0" fontId="0" fillId="35" borderId="11" xfId="0" applyFill="1" applyBorder="1" applyAlignment="1">
      <alignment horizontal="center"/>
    </xf>
    <xf numFmtId="164" fontId="22" fillId="0" borderId="10" xfId="0" applyNumberFormat="1" applyFont="1" applyBorder="1" applyAlignment="1">
      <alignment horizontal="center"/>
    </xf>
    <xf numFmtId="0" fontId="0" fillId="38" borderId="10" xfId="0" applyFill="1" applyBorder="1" applyAlignment="1">
      <alignment horizontal="center"/>
    </xf>
    <xf numFmtId="164" fontId="22" fillId="34" borderId="10" xfId="0" applyNumberFormat="1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19" fillId="38" borderId="10" xfId="0" applyFont="1" applyFill="1" applyBorder="1" applyAlignment="1">
      <alignment horizontal="center"/>
    </xf>
    <xf numFmtId="164" fontId="0" fillId="0" borderId="0" xfId="0" applyNumberFormat="1"/>
    <xf numFmtId="164" fontId="22" fillId="34" borderId="12" xfId="0" applyNumberFormat="1" applyFont="1" applyFill="1" applyBorder="1" applyAlignment="1">
      <alignment horizontal="center"/>
    </xf>
    <xf numFmtId="164" fontId="0" fillId="36" borderId="12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19" fillId="38" borderId="0" xfId="0" applyFont="1" applyFill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38" borderId="0" xfId="0" applyFill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1" fontId="0" fillId="36" borderId="10" xfId="0" applyNumberFormat="1" applyFill="1" applyBorder="1" applyAlignment="1">
      <alignment horizontal="center"/>
    </xf>
    <xf numFmtId="164" fontId="27" fillId="34" borderId="10" xfId="0" applyNumberFormat="1" applyFont="1" applyFill="1" applyBorder="1" applyAlignment="1">
      <alignment horizontal="center" vertical="center" wrapText="1"/>
    </xf>
    <xf numFmtId="164" fontId="0" fillId="35" borderId="10" xfId="0" applyNumberFormat="1" applyFill="1" applyBorder="1" applyAlignment="1">
      <alignment horizontal="center"/>
    </xf>
    <xf numFmtId="0" fontId="24" fillId="0" borderId="10" xfId="0" applyFont="1" applyBorder="1" applyAlignment="1">
      <alignment horizontal="center" wrapText="1"/>
    </xf>
    <xf numFmtId="164" fontId="24" fillId="0" borderId="10" xfId="0" applyNumberFormat="1" applyFont="1" applyBorder="1" applyAlignment="1">
      <alignment horizontal="center" wrapText="1"/>
    </xf>
    <xf numFmtId="164" fontId="21" fillId="0" borderId="10" xfId="0" applyNumberFormat="1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" fontId="0" fillId="0" borderId="10" xfId="0" applyNumberFormat="1" applyBorder="1"/>
    <xf numFmtId="0" fontId="0" fillId="38" borderId="0" xfId="0" applyFill="1" applyAlignment="1">
      <alignment horizontal="left"/>
    </xf>
    <xf numFmtId="0" fontId="0" fillId="38" borderId="0" xfId="0" applyFill="1" applyAlignment="1">
      <alignment horizontal="center"/>
    </xf>
    <xf numFmtId="0" fontId="0" fillId="0" borderId="0" xfId="0" applyAlignment="1">
      <alignment horizontal="left"/>
    </xf>
    <xf numFmtId="0" fontId="19" fillId="0" borderId="10" xfId="0" applyFont="1" applyBorder="1" applyAlignment="1">
      <alignment horizontal="left"/>
    </xf>
    <xf numFmtId="1" fontId="4" fillId="33" borderId="10" xfId="49" applyNumberFormat="1" applyFont="1" applyFill="1" applyBorder="1" applyAlignment="1">
      <alignment horizontal="center"/>
    </xf>
    <xf numFmtId="1" fontId="4" fillId="36" borderId="10" xfId="49" applyNumberFormat="1" applyFont="1" applyFill="1" applyBorder="1" applyAlignment="1">
      <alignment horizontal="center"/>
    </xf>
    <xf numFmtId="0" fontId="0" fillId="36" borderId="0" xfId="0" applyFill="1"/>
    <xf numFmtId="164" fontId="0" fillId="41" borderId="10" xfId="0" applyNumberFormat="1" applyFill="1" applyBorder="1" applyAlignment="1">
      <alignment horizontal="center"/>
    </xf>
    <xf numFmtId="1" fontId="21" fillId="41" borderId="10" xfId="0" applyNumberFormat="1" applyFont="1" applyFill="1" applyBorder="1" applyAlignment="1">
      <alignment horizontal="center"/>
    </xf>
    <xf numFmtId="0" fontId="27" fillId="34" borderId="12" xfId="0" applyFont="1" applyFill="1" applyBorder="1" applyAlignment="1">
      <alignment horizontal="center" vertical="center" wrapText="1"/>
    </xf>
    <xf numFmtId="164" fontId="4" fillId="41" borderId="10" xfId="107" applyNumberFormat="1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 wrapText="1"/>
    </xf>
    <xf numFmtId="0" fontId="0" fillId="36" borderId="11" xfId="0" applyFill="1" applyBorder="1" applyAlignment="1">
      <alignment horizontal="center"/>
    </xf>
    <xf numFmtId="164" fontId="23" fillId="37" borderId="10" xfId="0" applyNumberFormat="1" applyFont="1" applyFill="1" applyBorder="1" applyAlignment="1">
      <alignment horizontal="center" vertical="center" wrapText="1"/>
    </xf>
    <xf numFmtId="0" fontId="26" fillId="37" borderId="10" xfId="0" applyFont="1" applyFill="1" applyBorder="1" applyAlignment="1">
      <alignment horizontal="center" vertical="center" wrapText="1"/>
    </xf>
    <xf numFmtId="164" fontId="0" fillId="37" borderId="10" xfId="0" applyNumberFormat="1" applyFill="1" applyBorder="1" applyAlignment="1">
      <alignment horizontal="center"/>
    </xf>
    <xf numFmtId="164" fontId="22" fillId="37" borderId="10" xfId="0" applyNumberFormat="1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164" fontId="19" fillId="36" borderId="10" xfId="49" applyNumberFormat="1" applyFont="1" applyFill="1" applyBorder="1" applyAlignment="1">
      <alignment horizontal="center"/>
    </xf>
    <xf numFmtId="0" fontId="19" fillId="36" borderId="0" xfId="0" applyFont="1" applyFill="1"/>
    <xf numFmtId="1" fontId="19" fillId="36" borderId="10" xfId="49" applyNumberFormat="1" applyFont="1" applyFill="1" applyBorder="1" applyAlignment="1">
      <alignment horizontal="center"/>
    </xf>
    <xf numFmtId="0" fontId="0" fillId="40" borderId="10" xfId="79" applyFont="1" applyFill="1" applyBorder="1" applyAlignment="1">
      <alignment horizontal="center"/>
    </xf>
    <xf numFmtId="0" fontId="19" fillId="0" borderId="0" xfId="0" applyFont="1"/>
    <xf numFmtId="0" fontId="21" fillId="41" borderId="10" xfId="79" applyFont="1" applyFill="1" applyBorder="1" applyAlignment="1">
      <alignment horizontal="center"/>
    </xf>
    <xf numFmtId="164" fontId="0" fillId="36" borderId="11" xfId="0" applyNumberFormat="1" applyFill="1" applyBorder="1" applyAlignment="1">
      <alignment horizontal="center"/>
    </xf>
    <xf numFmtId="0" fontId="19" fillId="41" borderId="11" xfId="79" applyFont="1" applyFill="1" applyBorder="1" applyAlignment="1">
      <alignment horizontal="center"/>
    </xf>
    <xf numFmtId="164" fontId="0" fillId="41" borderId="11" xfId="79" applyNumberFormat="1" applyFont="1" applyFill="1" applyBorder="1" applyAlignment="1">
      <alignment horizontal="center"/>
    </xf>
    <xf numFmtId="164" fontId="0" fillId="41" borderId="11" xfId="0" applyNumberFormat="1" applyFill="1" applyBorder="1" applyAlignment="1">
      <alignment horizontal="center"/>
    </xf>
    <xf numFmtId="0" fontId="0" fillId="41" borderId="11" xfId="79" applyFont="1" applyFill="1" applyBorder="1" applyAlignment="1">
      <alignment horizontal="center"/>
    </xf>
    <xf numFmtId="1" fontId="19" fillId="41" borderId="11" xfId="0" applyNumberFormat="1" applyFont="1" applyFill="1" applyBorder="1" applyAlignment="1">
      <alignment horizontal="center" vertical="center" wrapText="1"/>
    </xf>
    <xf numFmtId="0" fontId="0" fillId="41" borderId="11" xfId="0" applyFill="1" applyBorder="1" applyAlignment="1">
      <alignment horizontal="center"/>
    </xf>
    <xf numFmtId="0" fontId="23" fillId="42" borderId="10" xfId="0" applyFont="1" applyFill="1" applyBorder="1" applyAlignment="1">
      <alignment horizontal="center" vertical="center" wrapText="1"/>
    </xf>
    <xf numFmtId="1" fontId="23" fillId="42" borderId="10" xfId="0" applyNumberFormat="1" applyFont="1" applyFill="1" applyBorder="1" applyAlignment="1">
      <alignment horizontal="center" vertical="center" wrapText="1"/>
    </xf>
    <xf numFmtId="164" fontId="23" fillId="42" borderId="10" xfId="0" applyNumberFormat="1" applyFont="1" applyFill="1" applyBorder="1" applyAlignment="1">
      <alignment horizontal="center" vertical="center" wrapText="1"/>
    </xf>
    <xf numFmtId="0" fontId="24" fillId="42" borderId="10" xfId="0" applyFont="1" applyFill="1" applyBorder="1" applyAlignment="1">
      <alignment horizontal="center" wrapText="1"/>
    </xf>
    <xf numFmtId="164" fontId="21" fillId="42" borderId="10" xfId="0" applyNumberFormat="1" applyFont="1" applyFill="1" applyBorder="1" applyAlignment="1">
      <alignment horizontal="center"/>
    </xf>
    <xf numFmtId="1" fontId="21" fillId="42" borderId="10" xfId="79" applyNumberFormat="1" applyFont="1" applyFill="1" applyBorder="1" applyAlignment="1">
      <alignment horizontal="center"/>
    </xf>
    <xf numFmtId="164" fontId="21" fillId="42" borderId="10" xfId="79" applyNumberFormat="1" applyFont="1" applyFill="1" applyBorder="1" applyAlignment="1">
      <alignment horizontal="center"/>
    </xf>
    <xf numFmtId="164" fontId="24" fillId="42" borderId="10" xfId="0" applyNumberFormat="1" applyFont="1" applyFill="1" applyBorder="1" applyAlignment="1">
      <alignment horizontal="center" wrapText="1"/>
    </xf>
    <xf numFmtId="1" fontId="24" fillId="42" borderId="10" xfId="0" applyNumberFormat="1" applyFont="1" applyFill="1" applyBorder="1" applyAlignment="1">
      <alignment horizontal="center" wrapText="1"/>
    </xf>
    <xf numFmtId="1" fontId="21" fillId="42" borderId="10" xfId="0" applyNumberFormat="1" applyFont="1" applyFill="1" applyBorder="1" applyAlignment="1">
      <alignment horizontal="center"/>
    </xf>
    <xf numFmtId="1" fontId="23" fillId="42" borderId="10" xfId="0" applyNumberFormat="1" applyFont="1" applyFill="1" applyBorder="1" applyAlignment="1">
      <alignment horizontal="center" wrapText="1"/>
    </xf>
    <xf numFmtId="164" fontId="23" fillId="42" borderId="10" xfId="0" applyNumberFormat="1" applyFont="1" applyFill="1" applyBorder="1" applyAlignment="1">
      <alignment horizontal="center" wrapText="1"/>
    </xf>
    <xf numFmtId="0" fontId="21" fillId="42" borderId="10" xfId="0" applyFont="1" applyFill="1" applyBorder="1" applyAlignment="1">
      <alignment horizontal="center"/>
    </xf>
    <xf numFmtId="164" fontId="19" fillId="36" borderId="11" xfId="49" applyNumberFormat="1" applyFont="1" applyFill="1" applyBorder="1" applyAlignment="1">
      <alignment horizontal="center"/>
    </xf>
    <xf numFmtId="164" fontId="4" fillId="33" borderId="11" xfId="49" applyNumberFormat="1" applyFont="1" applyFill="1" applyBorder="1" applyAlignment="1">
      <alignment horizontal="center"/>
    </xf>
    <xf numFmtId="164" fontId="4" fillId="36" borderId="11" xfId="49" applyNumberFormat="1" applyFont="1" applyFill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0" fillId="36" borderId="12" xfId="0" applyFill="1" applyBorder="1" applyAlignment="1">
      <alignment horizontal="center"/>
    </xf>
    <xf numFmtId="0" fontId="19" fillId="41" borderId="12" xfId="0" applyFont="1" applyFill="1" applyBorder="1" applyAlignment="1">
      <alignment horizontal="center" wrapText="1"/>
    </xf>
    <xf numFmtId="0" fontId="0" fillId="41" borderId="12" xfId="0" applyFill="1" applyBorder="1" applyAlignment="1">
      <alignment horizontal="center"/>
    </xf>
    <xf numFmtId="164" fontId="4" fillId="38" borderId="10" xfId="107" applyNumberFormat="1" applyFont="1" applyFill="1" applyBorder="1" applyAlignment="1">
      <alignment horizontal="center"/>
    </xf>
    <xf numFmtId="164" fontId="4" fillId="41" borderId="12" xfId="107" applyNumberFormat="1" applyFont="1" applyFill="1" applyBorder="1" applyAlignment="1">
      <alignment horizontal="center"/>
    </xf>
    <xf numFmtId="0" fontId="19" fillId="41" borderId="12" xfId="0" applyFont="1" applyFill="1" applyBorder="1" applyAlignment="1">
      <alignment horizontal="center" vertical="center" wrapText="1"/>
    </xf>
    <xf numFmtId="164" fontId="4" fillId="35" borderId="11" xfId="79" applyNumberFormat="1" applyFont="1" applyFill="1" applyBorder="1" applyAlignment="1">
      <alignment horizontal="center"/>
    </xf>
    <xf numFmtId="164" fontId="19" fillId="38" borderId="10" xfId="0" applyNumberFormat="1" applyFont="1" applyFill="1" applyBorder="1" applyAlignment="1">
      <alignment horizontal="center" vertical="center" wrapText="1"/>
    </xf>
    <xf numFmtId="164" fontId="0" fillId="41" borderId="12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4" fillId="38" borderId="10" xfId="93" applyNumberFormat="1" applyFont="1" applyFill="1" applyBorder="1" applyAlignment="1">
      <alignment horizontal="center"/>
    </xf>
    <xf numFmtId="164" fontId="19" fillId="36" borderId="13" xfId="49" applyNumberFormat="1" applyFont="1" applyFill="1" applyBorder="1" applyAlignment="1">
      <alignment horizontal="center"/>
    </xf>
    <xf numFmtId="1" fontId="19" fillId="0" borderId="10" xfId="49" applyNumberFormat="1" applyFont="1" applyBorder="1" applyAlignment="1">
      <alignment horizontal="center"/>
    </xf>
    <xf numFmtId="164" fontId="19" fillId="0" borderId="10" xfId="49" applyNumberFormat="1" applyFont="1" applyBorder="1" applyAlignment="1">
      <alignment horizontal="center"/>
    </xf>
    <xf numFmtId="0" fontId="23" fillId="42" borderId="11" xfId="0" applyFont="1" applyFill="1" applyBorder="1" applyAlignment="1">
      <alignment horizontal="center" vertical="center" wrapText="1"/>
    </xf>
    <xf numFmtId="164" fontId="23" fillId="42" borderId="11" xfId="0" applyNumberFormat="1" applyFont="1" applyFill="1" applyBorder="1" applyAlignment="1">
      <alignment horizontal="center" vertical="center" wrapText="1"/>
    </xf>
    <xf numFmtId="164" fontId="23" fillId="42" borderId="11" xfId="0" applyNumberFormat="1" applyFont="1" applyFill="1" applyBorder="1" applyAlignment="1">
      <alignment horizontal="center" wrapText="1"/>
    </xf>
    <xf numFmtId="0" fontId="21" fillId="41" borderId="12" xfId="0" applyFont="1" applyFill="1" applyBorder="1" applyAlignment="1">
      <alignment horizontal="center"/>
    </xf>
    <xf numFmtId="164" fontId="21" fillId="42" borderId="11" xfId="0" applyNumberFormat="1" applyFont="1" applyFill="1" applyBorder="1" applyAlignment="1">
      <alignment horizontal="center"/>
    </xf>
    <xf numFmtId="0" fontId="28" fillId="41" borderId="12" xfId="79" applyFont="1" applyFill="1" applyBorder="1" applyAlignment="1">
      <alignment horizontal="center"/>
    </xf>
    <xf numFmtId="1" fontId="21" fillId="36" borderId="12" xfId="0" applyNumberFormat="1" applyFont="1" applyFill="1" applyBorder="1" applyAlignment="1">
      <alignment horizontal="center"/>
    </xf>
    <xf numFmtId="0" fontId="21" fillId="36" borderId="12" xfId="0" applyFont="1" applyFill="1" applyBorder="1" applyAlignment="1">
      <alignment horizontal="center"/>
    </xf>
    <xf numFmtId="164" fontId="24" fillId="42" borderId="11" xfId="0" applyNumberFormat="1" applyFont="1" applyFill="1" applyBorder="1" applyAlignment="1">
      <alignment horizontal="center" wrapText="1"/>
    </xf>
    <xf numFmtId="1" fontId="21" fillId="41" borderId="12" xfId="79" applyNumberFormat="1" applyFont="1" applyFill="1" applyBorder="1" applyAlignment="1">
      <alignment horizontal="center"/>
    </xf>
    <xf numFmtId="164" fontId="21" fillId="42" borderId="11" xfId="79" applyNumberFormat="1" applyFont="1" applyFill="1" applyBorder="1" applyAlignment="1">
      <alignment horizontal="center"/>
    </xf>
    <xf numFmtId="0" fontId="21" fillId="42" borderId="11" xfId="0" applyFont="1" applyFill="1" applyBorder="1" applyAlignment="1">
      <alignment horizontal="center"/>
    </xf>
    <xf numFmtId="1" fontId="28" fillId="41" borderId="12" xfId="0" applyNumberFormat="1" applyFont="1" applyFill="1" applyBorder="1" applyAlignment="1">
      <alignment horizontal="center" vertical="center" wrapText="1"/>
    </xf>
    <xf numFmtId="1" fontId="21" fillId="41" borderId="12" xfId="0" applyNumberFormat="1" applyFont="1" applyFill="1" applyBorder="1" applyAlignment="1">
      <alignment horizontal="center"/>
    </xf>
    <xf numFmtId="0" fontId="21" fillId="41" borderId="12" xfId="79" applyFont="1" applyFill="1" applyBorder="1" applyAlignment="1">
      <alignment horizontal="center"/>
    </xf>
    <xf numFmtId="164" fontId="24" fillId="37" borderId="10" xfId="0" applyNumberFormat="1" applyFont="1" applyFill="1" applyBorder="1" applyAlignment="1">
      <alignment horizontal="center" wrapText="1"/>
    </xf>
    <xf numFmtId="164" fontId="21" fillId="37" borderId="10" xfId="0" applyNumberFormat="1" applyFont="1" applyFill="1" applyBorder="1" applyAlignment="1">
      <alignment horizontal="center"/>
    </xf>
    <xf numFmtId="164" fontId="21" fillId="37" borderId="10" xfId="79" applyNumberFormat="1" applyFont="1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19" fillId="0" borderId="10" xfId="0" applyFont="1" applyBorder="1" applyAlignment="1">
      <alignment horizontal="left" indent="1"/>
    </xf>
    <xf numFmtId="0" fontId="29" fillId="0" borderId="10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38" borderId="10" xfId="0" applyFill="1" applyBorder="1" applyAlignment="1">
      <alignment horizontal="left" indent="1"/>
    </xf>
    <xf numFmtId="164" fontId="24" fillId="43" borderId="10" xfId="0" applyNumberFormat="1" applyFont="1" applyFill="1" applyBorder="1" applyAlignment="1">
      <alignment horizontal="center" wrapText="1"/>
    </xf>
    <xf numFmtId="0" fontId="0" fillId="39" borderId="0" xfId="0" applyFill="1" applyAlignment="1">
      <alignment horizontal="left" indent="1"/>
    </xf>
    <xf numFmtId="164" fontId="4" fillId="43" borderId="10" xfId="107" applyNumberFormat="1" applyFont="1" applyFill="1" applyBorder="1" applyAlignment="1">
      <alignment horizontal="center"/>
    </xf>
    <xf numFmtId="164" fontId="0" fillId="40" borderId="11" xfId="0" applyNumberFormat="1" applyFill="1" applyBorder="1" applyAlignment="1">
      <alignment horizontal="center"/>
    </xf>
    <xf numFmtId="164" fontId="0" fillId="36" borderId="0" xfId="0" applyNumberFormat="1" applyFill="1" applyAlignment="1">
      <alignment horizontal="center"/>
    </xf>
    <xf numFmtId="1" fontId="0" fillId="39" borderId="0" xfId="0" applyNumberFormat="1" applyFill="1"/>
    <xf numFmtId="0" fontId="0" fillId="40" borderId="11" xfId="79" applyFont="1" applyFill="1" applyBorder="1" applyAlignment="1">
      <alignment horizontal="center"/>
    </xf>
    <xf numFmtId="164" fontId="0" fillId="43" borderId="15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64" fontId="21" fillId="42" borderId="15" xfId="0" applyNumberFormat="1" applyFont="1" applyFill="1" applyBorder="1" applyAlignment="1">
      <alignment horizontal="center"/>
    </xf>
    <xf numFmtId="1" fontId="0" fillId="0" borderId="0" xfId="0" applyNumberFormat="1"/>
    <xf numFmtId="164" fontId="23" fillId="43" borderId="10" xfId="0" applyNumberFormat="1" applyFont="1" applyFill="1" applyBorder="1" applyAlignment="1">
      <alignment horizontal="center" vertical="center" wrapText="1"/>
    </xf>
    <xf numFmtId="164" fontId="19" fillId="39" borderId="0" xfId="0" applyNumberFormat="1" applyFont="1" applyFill="1" applyAlignment="1">
      <alignment horizontal="center"/>
    </xf>
    <xf numFmtId="0" fontId="19" fillId="40" borderId="11" xfId="79" applyFont="1" applyFill="1" applyBorder="1" applyAlignment="1">
      <alignment horizontal="center"/>
    </xf>
    <xf numFmtId="0" fontId="19" fillId="0" borderId="10" xfId="0" applyFont="1" applyBorder="1"/>
    <xf numFmtId="1" fontId="21" fillId="41" borderId="16" xfId="0" applyNumberFormat="1" applyFont="1" applyFill="1" applyBorder="1" applyAlignment="1">
      <alignment horizontal="center"/>
    </xf>
    <xf numFmtId="164" fontId="0" fillId="40" borderId="17" xfId="0" applyNumberFormat="1" applyFill="1" applyBorder="1" applyAlignment="1">
      <alignment horizontal="center"/>
    </xf>
    <xf numFmtId="164" fontId="24" fillId="42" borderId="17" xfId="0" applyNumberFormat="1" applyFont="1" applyFill="1" applyBorder="1" applyAlignment="1">
      <alignment horizontal="center" wrapText="1"/>
    </xf>
    <xf numFmtId="0" fontId="26" fillId="43" borderId="10" xfId="0" applyFont="1" applyFill="1" applyBorder="1" applyAlignment="1">
      <alignment horizontal="center" vertical="center" wrapText="1"/>
    </xf>
    <xf numFmtId="164" fontId="0" fillId="33" borderId="17" xfId="0" applyNumberFormat="1" applyFill="1" applyBorder="1" applyAlignment="1">
      <alignment horizontal="center"/>
    </xf>
    <xf numFmtId="164" fontId="22" fillId="0" borderId="12" xfId="0" applyNumberFormat="1" applyFont="1" applyBorder="1" applyAlignment="1">
      <alignment horizontal="center"/>
    </xf>
    <xf numFmtId="164" fontId="19" fillId="36" borderId="14" xfId="49" applyNumberFormat="1" applyFont="1" applyFill="1" applyBorder="1" applyAlignment="1">
      <alignment horizontal="center"/>
    </xf>
    <xf numFmtId="164" fontId="4" fillId="34" borderId="12" xfId="79" applyNumberFormat="1" applyFont="1" applyFill="1" applyBorder="1" applyAlignment="1">
      <alignment horizontal="center"/>
    </xf>
    <xf numFmtId="164" fontId="0" fillId="34" borderId="15" xfId="0" applyNumberFormat="1" applyFill="1" applyBorder="1" applyAlignment="1">
      <alignment horizontal="center"/>
    </xf>
    <xf numFmtId="164" fontId="22" fillId="34" borderId="16" xfId="0" applyNumberFormat="1" applyFont="1" applyFill="1" applyBorder="1" applyAlignment="1">
      <alignment horizontal="center"/>
    </xf>
    <xf numFmtId="164" fontId="0" fillId="35" borderId="17" xfId="0" applyNumberFormat="1" applyFill="1" applyBorder="1" applyAlignment="1">
      <alignment horizontal="center"/>
    </xf>
    <xf numFmtId="164" fontId="0" fillId="38" borderId="15" xfId="0" applyNumberFormat="1" applyFill="1" applyBorder="1" applyAlignment="1">
      <alignment horizontal="center"/>
    </xf>
    <xf numFmtId="1" fontId="19" fillId="36" borderId="14" xfId="49" applyNumberFormat="1" applyFont="1" applyFill="1" applyBorder="1" applyAlignment="1">
      <alignment horizontal="center"/>
    </xf>
    <xf numFmtId="1" fontId="24" fillId="42" borderId="15" xfId="0" applyNumberFormat="1" applyFont="1" applyFill="1" applyBorder="1" applyAlignment="1">
      <alignment horizontal="center" wrapText="1"/>
    </xf>
    <xf numFmtId="164" fontId="0" fillId="39" borderId="0" xfId="0" applyNumberFormat="1" applyFill="1" applyAlignment="1">
      <alignment horizontal="left" indent="1"/>
    </xf>
    <xf numFmtId="164" fontId="0" fillId="41" borderId="15" xfId="0" applyNumberFormat="1" applyFill="1" applyBorder="1" applyAlignment="1">
      <alignment horizontal="center"/>
    </xf>
    <xf numFmtId="164" fontId="0" fillId="41" borderId="15" xfId="79" applyNumberFormat="1" applyFont="1" applyFill="1" applyBorder="1" applyAlignment="1">
      <alignment horizontal="center"/>
    </xf>
    <xf numFmtId="1" fontId="0" fillId="39" borderId="0" xfId="0" applyNumberFormat="1" applyFill="1" applyAlignment="1">
      <alignment horizontal="center"/>
    </xf>
    <xf numFmtId="164" fontId="0" fillId="43" borderId="10" xfId="0" applyNumberFormat="1" applyFill="1" applyBorder="1" applyAlignment="1">
      <alignment horizontal="center"/>
    </xf>
    <xf numFmtId="164" fontId="0" fillId="40" borderId="17" xfId="79" applyNumberFormat="1" applyFont="1" applyFill="1" applyBorder="1" applyAlignment="1">
      <alignment horizontal="center"/>
    </xf>
    <xf numFmtId="0" fontId="0" fillId="39" borderId="0" xfId="0" applyFill="1" applyAlignment="1">
      <alignment horizontal="center"/>
    </xf>
    <xf numFmtId="0" fontId="0" fillId="0" borderId="15" xfId="0" applyBorder="1" applyAlignment="1">
      <alignment horizontal="left" indent="1"/>
    </xf>
    <xf numFmtId="0" fontId="0" fillId="39" borderId="0" xfId="0" applyFill="1"/>
    <xf numFmtId="1" fontId="21" fillId="42" borderId="15" xfId="0" applyNumberFormat="1" applyFont="1" applyFill="1" applyBorder="1" applyAlignment="1">
      <alignment horizontal="center"/>
    </xf>
    <xf numFmtId="164" fontId="0" fillId="37" borderId="15" xfId="0" applyNumberFormat="1" applyFill="1" applyBorder="1" applyAlignment="1">
      <alignment horizontal="center"/>
    </xf>
    <xf numFmtId="1" fontId="19" fillId="40" borderId="11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40" borderId="11" xfId="0" applyFill="1" applyBorder="1" applyAlignment="1">
      <alignment horizontal="center"/>
    </xf>
    <xf numFmtId="164" fontId="0" fillId="35" borderId="15" xfId="0" applyNumberFormat="1" applyFill="1" applyBorder="1" applyAlignment="1">
      <alignment horizontal="center"/>
    </xf>
    <xf numFmtId="0" fontId="0" fillId="41" borderId="10" xfId="79" applyFont="1" applyFill="1" applyBorder="1" applyAlignment="1">
      <alignment horizontal="center"/>
    </xf>
    <xf numFmtId="0" fontId="19" fillId="40" borderId="11" xfId="0" applyFont="1" applyFill="1" applyBorder="1" applyAlignment="1">
      <alignment horizontal="center" wrapText="1"/>
    </xf>
    <xf numFmtId="164" fontId="0" fillId="41" borderId="17" xfId="0" applyNumberFormat="1" applyFill="1" applyBorder="1" applyAlignment="1">
      <alignment horizontal="center"/>
    </xf>
    <xf numFmtId="164" fontId="22" fillId="36" borderId="12" xfId="0" applyNumberFormat="1" applyFont="1" applyFill="1" applyBorder="1" applyAlignment="1">
      <alignment horizontal="center"/>
    </xf>
    <xf numFmtId="164" fontId="0" fillId="39" borderId="0" xfId="0" applyNumberFormat="1" applyFill="1" applyAlignment="1">
      <alignment horizontal="center"/>
    </xf>
    <xf numFmtId="164" fontId="0" fillId="40" borderId="11" xfId="79" applyNumberFormat="1" applyFont="1" applyFill="1" applyBorder="1" applyAlignment="1">
      <alignment horizontal="center"/>
    </xf>
    <xf numFmtId="164" fontId="0" fillId="33" borderId="15" xfId="0" applyNumberFormat="1" applyFill="1" applyBorder="1" applyAlignment="1">
      <alignment horizontal="center"/>
    </xf>
    <xf numFmtId="0" fontId="0" fillId="0" borderId="15" xfId="0" applyBorder="1"/>
    <xf numFmtId="164" fontId="24" fillId="42" borderId="15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0" fillId="0" borderId="10" xfId="0" applyBorder="1"/>
    <xf numFmtId="1" fontId="0" fillId="33" borderId="15" xfId="0" applyNumberFormat="1" applyFill="1" applyBorder="1" applyAlignment="1">
      <alignment horizontal="center"/>
    </xf>
    <xf numFmtId="0" fontId="0" fillId="43" borderId="10" xfId="0" applyFill="1" applyBorder="1" applyAlignment="1">
      <alignment horizontal="center"/>
    </xf>
    <xf numFmtId="1" fontId="21" fillId="41" borderId="15" xfId="79" applyNumberFormat="1" applyFont="1" applyFill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" fontId="0" fillId="33" borderId="10" xfId="49" applyNumberFormat="1" applyFont="1" applyFill="1" applyBorder="1" applyAlignment="1">
      <alignment horizontal="center"/>
    </xf>
    <xf numFmtId="1" fontId="4" fillId="0" borderId="10" xfId="49" applyNumberFormat="1" applyFont="1" applyBorder="1" applyAlignment="1">
      <alignment horizontal="center"/>
    </xf>
    <xf numFmtId="164" fontId="4" fillId="0" borderId="11" xfId="49" applyNumberFormat="1" applyFont="1" applyBorder="1" applyAlignment="1">
      <alignment horizontal="center"/>
    </xf>
    <xf numFmtId="1" fontId="21" fillId="0" borderId="10" xfId="79" applyNumberFormat="1" applyFont="1" applyBorder="1" applyAlignment="1">
      <alignment horizontal="center"/>
    </xf>
    <xf numFmtId="164" fontId="21" fillId="0" borderId="10" xfId="79" applyNumberFormat="1" applyFont="1" applyBorder="1" applyAlignment="1">
      <alignment horizontal="center"/>
    </xf>
    <xf numFmtId="1" fontId="24" fillId="0" borderId="10" xfId="0" applyNumberFormat="1" applyFont="1" applyBorder="1" applyAlignment="1">
      <alignment horizontal="center" wrapText="1"/>
    </xf>
    <xf numFmtId="164" fontId="24" fillId="0" borderId="11" xfId="0" applyNumberFormat="1" applyFont="1" applyBorder="1" applyAlignment="1">
      <alignment horizontal="center" wrapText="1"/>
    </xf>
    <xf numFmtId="164" fontId="4" fillId="0" borderId="10" xfId="107" applyNumberFormat="1" applyFont="1" applyBorder="1" applyAlignment="1">
      <alignment horizontal="center"/>
    </xf>
    <xf numFmtId="0" fontId="21" fillId="0" borderId="12" xfId="79" applyFont="1" applyBorder="1" applyAlignment="1">
      <alignment horizontal="center"/>
    </xf>
    <xf numFmtId="0" fontId="0" fillId="0" borderId="11" xfId="79" applyFont="1" applyBorder="1" applyAlignment="1">
      <alignment horizontal="center"/>
    </xf>
    <xf numFmtId="164" fontId="4" fillId="0" borderId="12" xfId="79" applyNumberFormat="1" applyFont="1" applyBorder="1" applyAlignment="1">
      <alignment horizontal="center"/>
    </xf>
    <xf numFmtId="164" fontId="4" fillId="0" borderId="11" xfId="79" applyNumberFormat="1" applyFont="1" applyBorder="1" applyAlignment="1">
      <alignment horizontal="center"/>
    </xf>
    <xf numFmtId="164" fontId="19" fillId="0" borderId="0" xfId="49" applyNumberFormat="1" applyFont="1" applyAlignment="1">
      <alignment horizontal="center"/>
    </xf>
    <xf numFmtId="1" fontId="21" fillId="0" borderId="12" xfId="79" applyNumberFormat="1" applyFont="1" applyBorder="1" applyAlignment="1">
      <alignment horizontal="center"/>
    </xf>
    <xf numFmtId="164" fontId="0" fillId="0" borderId="11" xfId="79" applyNumberFormat="1" applyFon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19" fillId="44" borderId="12" xfId="0" applyFont="1" applyFill="1" applyBorder="1" applyAlignment="1">
      <alignment horizontal="center" wrapText="1"/>
    </xf>
    <xf numFmtId="0" fontId="0" fillId="44" borderId="10" xfId="0" applyFill="1" applyBorder="1" applyAlignment="1">
      <alignment horizontal="center" vertical="center"/>
    </xf>
    <xf numFmtId="164" fontId="19" fillId="44" borderId="10" xfId="0" applyNumberFormat="1" applyFont="1" applyFill="1" applyBorder="1" applyAlignment="1">
      <alignment horizontal="center" vertical="center" wrapText="1"/>
    </xf>
    <xf numFmtId="0" fontId="19" fillId="44" borderId="12" xfId="0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64" fontId="0" fillId="36" borderId="10" xfId="0" applyNumberFormat="1" applyFill="1" applyBorder="1"/>
    <xf numFmtId="164" fontId="0" fillId="35" borderId="11" xfId="0" applyNumberFormat="1" applyFill="1" applyBorder="1" applyAlignment="1">
      <alignment horizontal="center" wrapText="1"/>
    </xf>
    <xf numFmtId="164" fontId="42" fillId="0" borderId="11" xfId="49" applyNumberFormat="1" applyFont="1" applyBorder="1" applyAlignment="1">
      <alignment horizontal="center" wrapText="1"/>
    </xf>
    <xf numFmtId="1" fontId="28" fillId="0" borderId="10" xfId="0" applyNumberFormat="1" applyFont="1" applyBorder="1" applyAlignment="1">
      <alignment horizontal="left"/>
    </xf>
    <xf numFmtId="164" fontId="19" fillId="0" borderId="11" xfId="49" applyNumberFormat="1" applyFont="1" applyBorder="1" applyAlignment="1">
      <alignment horizontal="center" wrapText="1"/>
    </xf>
    <xf numFmtId="14" fontId="21" fillId="33" borderId="10" xfId="49" applyNumberFormat="1" applyFont="1" applyFill="1" applyBorder="1" applyAlignment="1">
      <alignment horizontal="center"/>
    </xf>
    <xf numFmtId="1" fontId="19" fillId="0" borderId="10" xfId="49" applyNumberFormat="1" applyFont="1" applyBorder="1" applyAlignment="1">
      <alignment horizontal="center" wrapText="1"/>
    </xf>
    <xf numFmtId="0" fontId="19" fillId="0" borderId="14" xfId="0" applyFont="1" applyBorder="1"/>
    <xf numFmtId="0" fontId="19" fillId="0" borderId="18" xfId="0" applyFont="1" applyBorder="1"/>
    <xf numFmtId="164" fontId="42" fillId="33" borderId="11" xfId="49" applyNumberFormat="1" applyFont="1" applyFill="1" applyBorder="1" applyAlignment="1">
      <alignment horizontal="center" wrapText="1"/>
    </xf>
    <xf numFmtId="164" fontId="4" fillId="41" borderId="11" xfId="49" applyNumberFormat="1" applyFont="1" applyFill="1" applyBorder="1" applyAlignment="1">
      <alignment horizontal="center"/>
    </xf>
    <xf numFmtId="164" fontId="4" fillId="40" borderId="11" xfId="49" applyNumberFormat="1" applyFont="1" applyFill="1" applyBorder="1" applyAlignment="1">
      <alignment horizontal="center"/>
    </xf>
    <xf numFmtId="164" fontId="4" fillId="34" borderId="13" xfId="49" applyNumberFormat="1" applyFont="1" applyFill="1" applyBorder="1" applyAlignment="1">
      <alignment horizontal="center"/>
    </xf>
    <xf numFmtId="164" fontId="4" fillId="35" borderId="11" xfId="49" applyNumberFormat="1" applyFont="1" applyFill="1" applyBorder="1" applyAlignment="1">
      <alignment horizontal="center"/>
    </xf>
    <xf numFmtId="0" fontId="4" fillId="41" borderId="11" xfId="79" applyFont="1" applyFill="1" applyBorder="1" applyAlignment="1">
      <alignment horizontal="center"/>
    </xf>
    <xf numFmtId="0" fontId="4" fillId="40" borderId="11" xfId="79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 vertical="center" wrapText="1"/>
    </xf>
    <xf numFmtId="164" fontId="4" fillId="41" borderId="11" xfId="79" applyNumberFormat="1" applyFont="1" applyFill="1" applyBorder="1" applyAlignment="1">
      <alignment horizontal="center"/>
    </xf>
    <xf numFmtId="164" fontId="4" fillId="40" borderId="11" xfId="79" applyNumberFormat="1" applyFont="1" applyFill="1" applyBorder="1" applyAlignment="1">
      <alignment horizontal="center"/>
    </xf>
    <xf numFmtId="0" fontId="0" fillId="41" borderId="10" xfId="0" applyFill="1" applyBorder="1" applyAlignment="1">
      <alignment horizontal="center" vertical="center" wrapText="1"/>
    </xf>
    <xf numFmtId="164" fontId="4" fillId="38" borderId="10" xfId="49" applyNumberFormat="1" applyFont="1" applyFill="1" applyBorder="1" applyAlignment="1">
      <alignment horizontal="center"/>
    </xf>
    <xf numFmtId="164" fontId="4" fillId="41" borderId="10" xfId="49" applyNumberFormat="1" applyFont="1" applyFill="1" applyBorder="1" applyAlignment="1">
      <alignment horizontal="center"/>
    </xf>
    <xf numFmtId="1" fontId="25" fillId="44" borderId="15" xfId="0" applyNumberFormat="1" applyFont="1" applyFill="1" applyBorder="1" applyAlignment="1">
      <alignment horizontal="center" vertical="center" wrapText="1"/>
    </xf>
    <xf numFmtId="1" fontId="19" fillId="44" borderId="15" xfId="0" applyNumberFormat="1" applyFont="1" applyFill="1" applyBorder="1" applyAlignment="1">
      <alignment horizontal="center" vertical="center" wrapText="1"/>
    </xf>
    <xf numFmtId="164" fontId="19" fillId="44" borderId="17" xfId="0" applyNumberFormat="1" applyFont="1" applyFill="1" applyBorder="1" applyAlignment="1">
      <alignment horizontal="center" vertical="center" wrapText="1"/>
    </xf>
    <xf numFmtId="1" fontId="23" fillId="44" borderId="15" xfId="0" applyNumberFormat="1" applyFont="1" applyFill="1" applyBorder="1" applyAlignment="1">
      <alignment horizontal="center" vertical="center" wrapText="1"/>
    </xf>
    <xf numFmtId="164" fontId="23" fillId="44" borderId="15" xfId="0" applyNumberFormat="1" applyFont="1" applyFill="1" applyBorder="1" applyAlignment="1">
      <alignment horizontal="center" vertical="center" wrapText="1"/>
    </xf>
    <xf numFmtId="164" fontId="23" fillId="44" borderId="17" xfId="0" applyNumberFormat="1" applyFont="1" applyFill="1" applyBorder="1" applyAlignment="1">
      <alignment horizontal="center" vertical="center" wrapText="1"/>
    </xf>
    <xf numFmtId="1" fontId="28" fillId="44" borderId="16" xfId="0" applyNumberFormat="1" applyFont="1" applyFill="1" applyBorder="1" applyAlignment="1">
      <alignment horizontal="center" vertical="center" wrapText="1"/>
    </xf>
    <xf numFmtId="1" fontId="19" fillId="44" borderId="17" xfId="0" applyNumberFormat="1" applyFont="1" applyFill="1" applyBorder="1" applyAlignment="1">
      <alignment horizontal="center" vertical="center" wrapText="1"/>
    </xf>
    <xf numFmtId="164" fontId="27" fillId="44" borderId="15" xfId="0" applyNumberFormat="1" applyFont="1" applyFill="1" applyBorder="1" applyAlignment="1">
      <alignment horizontal="center" vertical="center" wrapText="1"/>
    </xf>
    <xf numFmtId="0" fontId="27" fillId="44" borderId="16" xfId="0" applyFont="1" applyFill="1" applyBorder="1" applyAlignment="1">
      <alignment horizontal="center" vertical="center" wrapText="1"/>
    </xf>
    <xf numFmtId="0" fontId="19" fillId="44" borderId="17" xfId="0" applyFont="1" applyFill="1" applyBorder="1" applyAlignment="1">
      <alignment horizontal="center" vertical="center" wrapText="1"/>
    </xf>
    <xf numFmtId="0" fontId="19" fillId="44" borderId="10" xfId="0" applyFont="1" applyFill="1" applyBorder="1" applyAlignment="1">
      <alignment horizontal="center" wrapText="1"/>
    </xf>
    <xf numFmtId="0" fontId="19" fillId="44" borderId="10" xfId="0" applyFont="1" applyFill="1" applyBorder="1" applyAlignment="1">
      <alignment horizontal="center" vertical="center" wrapText="1"/>
    </xf>
    <xf numFmtId="164" fontId="19" fillId="44" borderId="11" xfId="0" applyNumberFormat="1" applyFont="1" applyFill="1" applyBorder="1" applyAlignment="1">
      <alignment horizontal="center" vertical="center" wrapText="1"/>
    </xf>
    <xf numFmtId="1" fontId="0" fillId="33" borderId="15" xfId="0" applyNumberFormat="1" applyFill="1" applyBorder="1" applyAlignment="1">
      <alignment horizontal="center" vertical="center" wrapText="1"/>
    </xf>
    <xf numFmtId="164" fontId="0" fillId="33" borderId="17" xfId="0" applyNumberFormat="1" applyFill="1" applyBorder="1" applyAlignment="1">
      <alignment horizontal="center" vertical="center" wrapText="1"/>
    </xf>
    <xf numFmtId="0" fontId="19" fillId="41" borderId="10" xfId="0" applyFont="1" applyFill="1" applyBorder="1" applyAlignment="1">
      <alignment horizontal="center" wrapText="1"/>
    </xf>
    <xf numFmtId="0" fontId="19" fillId="41" borderId="10" xfId="0" applyFont="1" applyFill="1" applyBorder="1" applyAlignment="1">
      <alignment horizontal="center" vertical="center" wrapText="1"/>
    </xf>
    <xf numFmtId="1" fontId="21" fillId="42" borderId="15" xfId="0" applyNumberFormat="1" applyFont="1" applyFill="1" applyBorder="1" applyAlignment="1">
      <alignment horizontal="center" wrapText="1"/>
    </xf>
    <xf numFmtId="1" fontId="21" fillId="42" borderId="10" xfId="0" applyNumberFormat="1" applyFont="1" applyFill="1" applyBorder="1" applyAlignment="1">
      <alignment horizontal="center" wrapText="1"/>
    </xf>
    <xf numFmtId="1" fontId="21" fillId="42" borderId="10" xfId="79" applyNumberFormat="1" applyFont="1" applyFill="1" applyBorder="1" applyAlignment="1">
      <alignment horizontal="center" wrapText="1"/>
    </xf>
    <xf numFmtId="0" fontId="21" fillId="42" borderId="10" xfId="0" applyFont="1" applyFill="1" applyBorder="1" applyAlignment="1">
      <alignment horizontal="center" wrapText="1"/>
    </xf>
    <xf numFmtId="164" fontId="4" fillId="42" borderId="11" xfId="49" applyNumberFormat="1" applyFont="1" applyFill="1" applyBorder="1" applyAlignment="1">
      <alignment horizontal="center" wrapText="1"/>
    </xf>
    <xf numFmtId="164" fontId="21" fillId="42" borderId="10" xfId="0" applyNumberFormat="1" applyFont="1" applyFill="1" applyBorder="1" applyAlignment="1">
      <alignment horizontal="center" wrapText="1"/>
    </xf>
    <xf numFmtId="164" fontId="0" fillId="42" borderId="15" xfId="0" applyNumberFormat="1" applyFill="1" applyBorder="1" applyAlignment="1">
      <alignment horizontal="center"/>
    </xf>
    <xf numFmtId="164" fontId="0" fillId="42" borderId="10" xfId="0" applyNumberFormat="1" applyFill="1" applyBorder="1" applyAlignment="1">
      <alignment horizontal="center"/>
    </xf>
    <xf numFmtId="164" fontId="0" fillId="42" borderId="10" xfId="79" applyNumberFormat="1" applyFont="1" applyFill="1" applyBorder="1" applyAlignment="1">
      <alignment horizontal="center"/>
    </xf>
    <xf numFmtId="0" fontId="0" fillId="42" borderId="10" xfId="0" applyFill="1" applyBorder="1"/>
    <xf numFmtId="164" fontId="22" fillId="42" borderId="15" xfId="0" applyNumberFormat="1" applyFont="1" applyFill="1" applyBorder="1" applyAlignment="1">
      <alignment horizontal="center"/>
    </xf>
    <xf numFmtId="1" fontId="0" fillId="42" borderId="15" xfId="0" applyNumberFormat="1" applyFill="1" applyBorder="1" applyAlignment="1">
      <alignment horizontal="center"/>
    </xf>
    <xf numFmtId="164" fontId="22" fillId="42" borderId="15" xfId="0" applyNumberFormat="1" applyFont="1" applyFill="1" applyBorder="1" applyAlignment="1">
      <alignment horizontal="center" wrapText="1"/>
    </xf>
    <xf numFmtId="164" fontId="0" fillId="42" borderId="11" xfId="49" applyNumberFormat="1" applyFont="1" applyFill="1" applyBorder="1" applyAlignment="1">
      <alignment horizontal="center"/>
    </xf>
    <xf numFmtId="0" fontId="0" fillId="42" borderId="10" xfId="0" applyFill="1" applyBorder="1" applyAlignment="1">
      <alignment horizontal="center"/>
    </xf>
    <xf numFmtId="164" fontId="22" fillId="42" borderId="10" xfId="0" applyNumberFormat="1" applyFont="1" applyFill="1" applyBorder="1" applyAlignment="1">
      <alignment horizontal="center" wrapText="1"/>
    </xf>
    <xf numFmtId="164" fontId="22" fillId="42" borderId="17" xfId="0" applyNumberFormat="1" applyFont="1" applyFill="1" applyBorder="1" applyAlignment="1">
      <alignment horizontal="center" wrapText="1"/>
    </xf>
    <xf numFmtId="0" fontId="0" fillId="42" borderId="11" xfId="0" applyFill="1" applyBorder="1" applyAlignment="1">
      <alignment horizontal="center"/>
    </xf>
    <xf numFmtId="164" fontId="22" fillId="42" borderId="11" xfId="0" applyNumberFormat="1" applyFont="1" applyFill="1" applyBorder="1" applyAlignment="1">
      <alignment horizontal="center" wrapText="1"/>
    </xf>
    <xf numFmtId="164" fontId="0" fillId="42" borderId="11" xfId="0" applyNumberFormat="1" applyFill="1" applyBorder="1" applyAlignment="1">
      <alignment horizontal="center"/>
    </xf>
    <xf numFmtId="164" fontId="0" fillId="44" borderId="10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wrapText="1"/>
    </xf>
    <xf numFmtId="1" fontId="0" fillId="0" borderId="10" xfId="0" applyNumberFormat="1" applyBorder="1" applyAlignment="1">
      <alignment horizontal="center" wrapText="1"/>
    </xf>
    <xf numFmtId="0" fontId="0" fillId="0" borderId="10" xfId="0" applyBorder="1" applyAlignment="1">
      <alignment horizontal="left" indent="1"/>
    </xf>
    <xf numFmtId="14" fontId="0" fillId="0" borderId="10" xfId="0" applyNumberFormat="1" applyBorder="1" applyAlignment="1">
      <alignment horizontal="left" indent="1"/>
    </xf>
    <xf numFmtId="164" fontId="21" fillId="41" borderId="11" xfId="49" applyNumberFormat="1" applyFont="1" applyFill="1" applyBorder="1" applyAlignment="1">
      <alignment horizontal="center"/>
    </xf>
    <xf numFmtId="164" fontId="0" fillId="43" borderId="11" xfId="49" applyNumberFormat="1" applyFont="1" applyFill="1" applyBorder="1" applyAlignment="1">
      <alignment horizontal="center"/>
    </xf>
    <xf numFmtId="164" fontId="0" fillId="37" borderId="11" xfId="49" applyNumberFormat="1" applyFont="1" applyFill="1" applyBorder="1" applyAlignment="1">
      <alignment horizontal="center"/>
    </xf>
    <xf numFmtId="164" fontId="0" fillId="43" borderId="10" xfId="107" applyNumberFormat="1" applyFont="1" applyFill="1" applyBorder="1" applyAlignment="1">
      <alignment horizontal="center"/>
    </xf>
    <xf numFmtId="0" fontId="43" fillId="0" borderId="0" xfId="0" applyFont="1"/>
    <xf numFmtId="1" fontId="44" fillId="42" borderId="15" xfId="0" applyNumberFormat="1" applyFont="1" applyFill="1" applyBorder="1" applyAlignment="1">
      <alignment horizontal="center" wrapText="1"/>
    </xf>
    <xf numFmtId="164" fontId="43" fillId="0" borderId="15" xfId="0" applyNumberFormat="1" applyFont="1" applyBorder="1" applyAlignment="1">
      <alignment horizontal="center"/>
    </xf>
    <xf numFmtId="0" fontId="27" fillId="0" borderId="0" xfId="0" applyFont="1"/>
    <xf numFmtId="0" fontId="45" fillId="0" borderId="0" xfId="0" applyFont="1"/>
    <xf numFmtId="164" fontId="45" fillId="0" borderId="10" xfId="0" applyNumberFormat="1" applyFont="1" applyBorder="1" applyAlignment="1">
      <alignment horizontal="center"/>
    </xf>
    <xf numFmtId="1" fontId="46" fillId="42" borderId="15" xfId="0" applyNumberFormat="1" applyFont="1" applyFill="1" applyBorder="1" applyAlignment="1">
      <alignment horizontal="center" wrapText="1"/>
    </xf>
    <xf numFmtId="1" fontId="46" fillId="42" borderId="10" xfId="0" applyNumberFormat="1" applyFont="1" applyFill="1" applyBorder="1" applyAlignment="1">
      <alignment horizontal="center" wrapText="1"/>
    </xf>
    <xf numFmtId="1" fontId="44" fillId="42" borderId="10" xfId="0" applyNumberFormat="1" applyFont="1" applyFill="1" applyBorder="1" applyAlignment="1">
      <alignment horizontal="center" wrapText="1"/>
    </xf>
    <xf numFmtId="164" fontId="43" fillId="0" borderId="10" xfId="0" applyNumberFormat="1" applyFont="1" applyBorder="1" applyAlignment="1">
      <alignment horizontal="center"/>
    </xf>
    <xf numFmtId="0" fontId="47" fillId="0" borderId="0" xfId="0" applyFont="1"/>
    <xf numFmtId="0" fontId="48" fillId="0" borderId="0" xfId="0" applyFont="1"/>
    <xf numFmtId="0" fontId="49" fillId="0" borderId="0" xfId="0" applyFont="1"/>
    <xf numFmtId="164" fontId="44" fillId="42" borderId="11" xfId="49" applyNumberFormat="1" applyFont="1" applyFill="1" applyBorder="1" applyAlignment="1">
      <alignment horizontal="center" wrapText="1"/>
    </xf>
    <xf numFmtId="164" fontId="0" fillId="41" borderId="10" xfId="0" applyNumberFormat="1" applyFill="1" applyBorder="1" applyAlignment="1">
      <alignment horizontal="center" wrapText="1"/>
    </xf>
    <xf numFmtId="164" fontId="0" fillId="38" borderId="10" xfId="0" applyNumberFormat="1" applyFill="1" applyBorder="1" applyAlignment="1">
      <alignment horizontal="center" vertical="center"/>
    </xf>
    <xf numFmtId="1" fontId="46" fillId="42" borderId="10" xfId="79" applyNumberFormat="1" applyFont="1" applyFill="1" applyBorder="1" applyAlignment="1">
      <alignment horizontal="center" wrapText="1"/>
    </xf>
    <xf numFmtId="164" fontId="47" fillId="0" borderId="10" xfId="0" applyNumberFormat="1" applyFont="1" applyBorder="1" applyAlignment="1">
      <alignment horizontal="center"/>
    </xf>
    <xf numFmtId="1" fontId="44" fillId="42" borderId="10" xfId="79" applyNumberFormat="1" applyFont="1" applyFill="1" applyBorder="1" applyAlignment="1">
      <alignment horizontal="center" wrapText="1"/>
    </xf>
    <xf numFmtId="164" fontId="49" fillId="0" borderId="10" xfId="0" applyNumberFormat="1" applyFont="1" applyBorder="1" applyAlignment="1">
      <alignment horizontal="center"/>
    </xf>
    <xf numFmtId="1" fontId="50" fillId="42" borderId="10" xfId="79" applyNumberFormat="1" applyFont="1" applyFill="1" applyBorder="1" applyAlignment="1">
      <alignment horizontal="center" wrapText="1"/>
    </xf>
    <xf numFmtId="164" fontId="49" fillId="0" borderId="15" xfId="0" applyNumberFormat="1" applyFont="1" applyBorder="1" applyAlignment="1">
      <alignment horizontal="center"/>
    </xf>
    <xf numFmtId="164" fontId="22" fillId="0" borderId="15" xfId="0" applyNumberFormat="1" applyFont="1" applyBorder="1" applyAlignment="1">
      <alignment horizontal="center"/>
    </xf>
    <xf numFmtId="164" fontId="48" fillId="0" borderId="15" xfId="0" applyNumberFormat="1" applyFont="1" applyBorder="1" applyAlignment="1">
      <alignment horizontal="center"/>
    </xf>
    <xf numFmtId="164" fontId="47" fillId="0" borderId="15" xfId="0" applyNumberFormat="1" applyFont="1" applyBorder="1" applyAlignment="1">
      <alignment horizontal="center"/>
    </xf>
    <xf numFmtId="164" fontId="45" fillId="0" borderId="15" xfId="0" applyNumberFormat="1" applyFont="1" applyBorder="1" applyAlignment="1">
      <alignment horizontal="center"/>
    </xf>
    <xf numFmtId="1" fontId="50" fillId="42" borderId="10" xfId="0" applyNumberFormat="1" applyFont="1" applyFill="1" applyBorder="1" applyAlignment="1">
      <alignment horizontal="center" wrapText="1"/>
    </xf>
    <xf numFmtId="1" fontId="51" fillId="42" borderId="10" xfId="0" applyNumberFormat="1" applyFont="1" applyFill="1" applyBorder="1" applyAlignment="1">
      <alignment horizontal="center" wrapText="1"/>
    </xf>
    <xf numFmtId="1" fontId="51" fillId="42" borderId="10" xfId="79" applyNumberFormat="1" applyFont="1" applyFill="1" applyBorder="1" applyAlignment="1">
      <alignment horizontal="center" wrapText="1"/>
    </xf>
    <xf numFmtId="1" fontId="52" fillId="42" borderId="10" xfId="0" applyNumberFormat="1" applyFont="1" applyFill="1" applyBorder="1" applyAlignment="1">
      <alignment horizont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1" fontId="26" fillId="42" borderId="10" xfId="0" applyNumberFormat="1" applyFont="1" applyFill="1" applyBorder="1" applyAlignment="1">
      <alignment horizontal="left" vertical="center" wrapText="1"/>
    </xf>
    <xf numFmtId="1" fontId="26" fillId="42" borderId="10" xfId="0" applyNumberFormat="1" applyFont="1" applyFill="1" applyBorder="1" applyAlignment="1">
      <alignment vertical="center" wrapText="1"/>
    </xf>
    <xf numFmtId="164" fontId="23" fillId="42" borderId="12" xfId="0" applyNumberFormat="1" applyFont="1" applyFill="1" applyBorder="1" applyAlignment="1">
      <alignment horizontal="center" vertical="center" wrapText="1"/>
    </xf>
    <xf numFmtId="164" fontId="23" fillId="45" borderId="10" xfId="0" applyNumberFormat="1" applyFont="1" applyFill="1" applyBorder="1" applyAlignment="1">
      <alignment horizontal="center" vertical="center" wrapText="1"/>
    </xf>
    <xf numFmtId="1" fontId="28" fillId="38" borderId="10" xfId="0" applyNumberFormat="1" applyFont="1" applyFill="1" applyBorder="1" applyAlignment="1">
      <alignment horizontal="center" vertical="center" wrapText="1"/>
    </xf>
    <xf numFmtId="164" fontId="19" fillId="46" borderId="10" xfId="0" applyNumberFormat="1" applyFont="1" applyFill="1" applyBorder="1" applyAlignment="1">
      <alignment horizontal="center" vertical="center" wrapText="1"/>
    </xf>
    <xf numFmtId="164" fontId="19" fillId="0" borderId="12" xfId="0" applyNumberFormat="1" applyFont="1" applyBorder="1" applyAlignment="1">
      <alignment horizontal="center" vertical="center" wrapText="1"/>
    </xf>
    <xf numFmtId="0" fontId="19" fillId="40" borderId="10" xfId="0" applyFont="1" applyFill="1" applyBorder="1" applyAlignment="1">
      <alignment horizontal="center" wrapText="1"/>
    </xf>
    <xf numFmtId="1" fontId="19" fillId="38" borderId="11" xfId="0" applyNumberFormat="1" applyFont="1" applyFill="1" applyBorder="1" applyAlignment="1">
      <alignment horizontal="center" vertical="center" wrapText="1"/>
    </xf>
    <xf numFmtId="1" fontId="19" fillId="40" borderId="10" xfId="0" applyNumberFormat="1" applyFont="1" applyFill="1" applyBorder="1" applyAlignment="1">
      <alignment horizontal="center" vertical="center" wrapText="1"/>
    </xf>
    <xf numFmtId="164" fontId="27" fillId="34" borderId="12" xfId="0" applyNumberFormat="1" applyFont="1" applyFill="1" applyBorder="1" applyAlignment="1">
      <alignment horizontal="center" vertical="center" wrapText="1"/>
    </xf>
    <xf numFmtId="1" fontId="53" fillId="33" borderId="10" xfId="0" applyNumberFormat="1" applyFont="1" applyFill="1" applyBorder="1"/>
    <xf numFmtId="0" fontId="0" fillId="33" borderId="10" xfId="0" applyFill="1" applyBorder="1" applyAlignment="1">
      <alignment horizontal="center"/>
    </xf>
    <xf numFmtId="0" fontId="53" fillId="33" borderId="10" xfId="0" applyFont="1" applyFill="1" applyBorder="1" applyAlignment="1">
      <alignment horizontal="center"/>
    </xf>
    <xf numFmtId="0" fontId="0" fillId="38" borderId="10" xfId="0" applyFill="1" applyBorder="1"/>
    <xf numFmtId="1" fontId="19" fillId="0" borderId="14" xfId="0" applyNumberFormat="1" applyFont="1" applyBorder="1" applyAlignment="1">
      <alignment horizontal="center"/>
    </xf>
    <xf numFmtId="1" fontId="19" fillId="0" borderId="14" xfId="0" applyNumberFormat="1" applyFont="1" applyBorder="1" applyAlignment="1">
      <alignment horizontal="left"/>
    </xf>
    <xf numFmtId="0" fontId="19" fillId="0" borderId="14" xfId="0" applyFont="1" applyBorder="1" applyAlignment="1">
      <alignment horizontal="center"/>
    </xf>
    <xf numFmtId="1" fontId="53" fillId="0" borderId="0" xfId="0" applyNumberFormat="1" applyFont="1"/>
    <xf numFmtId="1" fontId="53" fillId="0" borderId="10" xfId="0" applyNumberFormat="1" applyFont="1" applyBorder="1"/>
    <xf numFmtId="0" fontId="53" fillId="0" borderId="10" xfId="0" applyFont="1" applyBorder="1" applyAlignment="1">
      <alignment horizontal="center"/>
    </xf>
    <xf numFmtId="1" fontId="53" fillId="33" borderId="14" xfId="0" applyNumberFormat="1" applyFont="1" applyFill="1" applyBorder="1"/>
    <xf numFmtId="0" fontId="0" fillId="33" borderId="14" xfId="0" applyFill="1" applyBorder="1" applyAlignment="1">
      <alignment horizontal="center"/>
    </xf>
    <xf numFmtId="0" fontId="53" fillId="33" borderId="14" xfId="0" applyFont="1" applyFill="1" applyBorder="1" applyAlignment="1">
      <alignment horizontal="center"/>
    </xf>
    <xf numFmtId="0" fontId="0" fillId="38" borderId="14" xfId="0" applyFill="1" applyBorder="1"/>
    <xf numFmtId="0" fontId="53" fillId="0" borderId="0" xfId="0" applyFont="1" applyAlignment="1">
      <alignment horizontal="center"/>
    </xf>
    <xf numFmtId="0" fontId="22" fillId="42" borderId="14" xfId="0" applyFont="1" applyFill="1" applyBorder="1"/>
    <xf numFmtId="0" fontId="22" fillId="42" borderId="10" xfId="0" applyFont="1" applyFill="1" applyBorder="1"/>
    <xf numFmtId="0" fontId="22" fillId="0" borderId="10" xfId="0" applyFont="1" applyBorder="1"/>
    <xf numFmtId="0" fontId="22" fillId="0" borderId="0" xfId="0" applyFont="1"/>
    <xf numFmtId="164" fontId="0" fillId="34" borderId="14" xfId="0" applyNumberFormat="1" applyFill="1" applyBorder="1" applyAlignment="1">
      <alignment horizontal="center"/>
    </xf>
    <xf numFmtId="0" fontId="0" fillId="38" borderId="11" xfId="0" applyFill="1" applyBorder="1" applyAlignment="1">
      <alignment horizontal="center"/>
    </xf>
    <xf numFmtId="0" fontId="0" fillId="38" borderId="20" xfId="0" applyFill="1" applyBorder="1" applyAlignment="1">
      <alignment horizontal="center"/>
    </xf>
    <xf numFmtId="0" fontId="22" fillId="42" borderId="1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42" borderId="14" xfId="0" applyFont="1" applyFill="1" applyBorder="1" applyAlignment="1">
      <alignment horizontal="center"/>
    </xf>
    <xf numFmtId="164" fontId="53" fillId="33" borderId="10" xfId="0" applyNumberFormat="1" applyFont="1" applyFill="1" applyBorder="1" applyAlignment="1">
      <alignment horizontal="center"/>
    </xf>
    <xf numFmtId="164" fontId="53" fillId="0" borderId="10" xfId="0" applyNumberFormat="1" applyFont="1" applyBorder="1" applyAlignment="1">
      <alignment horizontal="center"/>
    </xf>
    <xf numFmtId="164" fontId="53" fillId="33" borderId="14" xfId="0" applyNumberFormat="1" applyFont="1" applyFill="1" applyBorder="1" applyAlignment="1">
      <alignment horizontal="center"/>
    </xf>
    <xf numFmtId="164" fontId="53" fillId="0" borderId="0" xfId="0" applyNumberFormat="1" applyFont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164" fontId="27" fillId="34" borderId="13" xfId="0" applyNumberFormat="1" applyFont="1" applyFill="1" applyBorder="1" applyAlignment="1">
      <alignment horizontal="center" vertical="center" wrapText="1"/>
    </xf>
    <xf numFmtId="164" fontId="0" fillId="34" borderId="0" xfId="0" applyNumberFormat="1" applyFill="1" applyAlignment="1">
      <alignment horizontal="center"/>
    </xf>
    <xf numFmtId="14" fontId="0" fillId="0" borderId="0" xfId="0" applyNumberFormat="1"/>
    <xf numFmtId="0" fontId="0" fillId="0" borderId="14" xfId="0" applyBorder="1" applyAlignment="1">
      <alignment horizontal="center"/>
    </xf>
    <xf numFmtId="14" fontId="0" fillId="0" borderId="10" xfId="0" applyNumberFormat="1" applyBorder="1"/>
    <xf numFmtId="1" fontId="27" fillId="39" borderId="21" xfId="0" applyNumberFormat="1" applyFont="1" applyFill="1" applyBorder="1" applyAlignment="1">
      <alignment horizontal="center"/>
    </xf>
    <xf numFmtId="1" fontId="22" fillId="39" borderId="22" xfId="0" applyNumberFormat="1" applyFont="1" applyFill="1" applyBorder="1" applyAlignment="1">
      <alignment horizontal="center"/>
    </xf>
    <xf numFmtId="1" fontId="22" fillId="39" borderId="22" xfId="0" applyNumberFormat="1" applyFont="1" applyFill="1" applyBorder="1" applyAlignment="1">
      <alignment horizontal="left"/>
    </xf>
    <xf numFmtId="2" fontId="22" fillId="39" borderId="23" xfId="0" applyNumberFormat="1" applyFont="1" applyFill="1" applyBorder="1" applyAlignment="1">
      <alignment horizontal="center"/>
    </xf>
    <xf numFmtId="164" fontId="22" fillId="39" borderId="23" xfId="0" applyNumberFormat="1" applyFont="1" applyFill="1" applyBorder="1" applyAlignment="1">
      <alignment horizontal="center"/>
    </xf>
    <xf numFmtId="0" fontId="19" fillId="36" borderId="10" xfId="0" applyFont="1" applyFill="1" applyBorder="1" applyAlignment="1">
      <alignment horizontal="center"/>
    </xf>
    <xf numFmtId="0" fontId="54" fillId="36" borderId="10" xfId="0" applyFont="1" applyFill="1" applyBorder="1" applyAlignment="1">
      <alignment horizontal="center"/>
    </xf>
    <xf numFmtId="164" fontId="54" fillId="36" borderId="10" xfId="0" applyNumberFormat="1" applyFont="1" applyFill="1" applyBorder="1" applyAlignment="1">
      <alignment horizontal="center"/>
    </xf>
    <xf numFmtId="0" fontId="27" fillId="36" borderId="10" xfId="0" applyFont="1" applyFill="1" applyBorder="1" applyAlignment="1">
      <alignment horizontal="center"/>
    </xf>
    <xf numFmtId="0" fontId="19" fillId="36" borderId="11" xfId="0" applyFont="1" applyFill="1" applyBorder="1" applyAlignment="1">
      <alignment horizontal="center"/>
    </xf>
    <xf numFmtId="164" fontId="19" fillId="36" borderId="10" xfId="0" applyNumberFormat="1" applyFont="1" applyFill="1" applyBorder="1" applyAlignment="1">
      <alignment horizontal="center"/>
    </xf>
    <xf numFmtId="1" fontId="54" fillId="36" borderId="10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0" fillId="40" borderId="10" xfId="0" applyFill="1" applyBorder="1" applyAlignment="1">
      <alignment horizontal="center"/>
    </xf>
    <xf numFmtId="0" fontId="0" fillId="40" borderId="14" xfId="0" applyFill="1" applyBorder="1" applyAlignment="1">
      <alignment horizontal="center"/>
    </xf>
    <xf numFmtId="2" fontId="22" fillId="0" borderId="0" xfId="0" applyNumberFormat="1" applyFont="1" applyAlignment="1">
      <alignment horizontal="center"/>
    </xf>
    <xf numFmtId="0" fontId="0" fillId="37" borderId="14" xfId="0" applyFill="1" applyBorder="1" applyAlignment="1">
      <alignment horizontal="center"/>
    </xf>
    <xf numFmtId="11" fontId="0" fillId="0" borderId="0" xfId="0" applyNumberFormat="1"/>
    <xf numFmtId="22" fontId="0" fillId="0" borderId="0" xfId="0" applyNumberFormat="1"/>
    <xf numFmtId="164" fontId="26" fillId="45" borderId="10" xfId="0" applyNumberFormat="1" applyFont="1" applyFill="1" applyBorder="1" applyAlignment="1">
      <alignment horizontal="center" vertical="center" wrapText="1"/>
    </xf>
    <xf numFmtId="164" fontId="0" fillId="45" borderId="10" xfId="0" applyNumberFormat="1" applyFill="1" applyBorder="1" applyAlignment="1">
      <alignment horizontal="center"/>
    </xf>
    <xf numFmtId="164" fontId="0" fillId="45" borderId="14" xfId="0" applyNumberFormat="1" applyFill="1" applyBorder="1" applyAlignment="1">
      <alignment horizontal="center"/>
    </xf>
    <xf numFmtId="2" fontId="27" fillId="39" borderId="23" xfId="0" applyNumberFormat="1" applyFont="1" applyFill="1" applyBorder="1" applyAlignment="1">
      <alignment horizontal="center"/>
    </xf>
    <xf numFmtId="0" fontId="0" fillId="38" borderId="24" xfId="0" applyFill="1" applyBorder="1"/>
    <xf numFmtId="0" fontId="0" fillId="38" borderId="25" xfId="0" applyFill="1" applyBorder="1" applyAlignment="1">
      <alignment horizontal="center"/>
    </xf>
    <xf numFmtId="0" fontId="19" fillId="38" borderId="25" xfId="0" applyFont="1" applyFill="1" applyBorder="1" applyAlignment="1">
      <alignment horizontal="center"/>
    </xf>
    <xf numFmtId="1" fontId="19" fillId="0" borderId="27" xfId="0" applyNumberFormat="1" applyFont="1" applyBorder="1" applyAlignment="1">
      <alignment horizontal="center"/>
    </xf>
    <xf numFmtId="164" fontId="19" fillId="0" borderId="28" xfId="0" applyNumberFormat="1" applyFont="1" applyBorder="1" applyAlignment="1">
      <alignment horizontal="center"/>
    </xf>
    <xf numFmtId="0" fontId="0" fillId="0" borderId="29" xfId="0" applyBorder="1"/>
    <xf numFmtId="164" fontId="0" fillId="36" borderId="30" xfId="0" applyNumberFormat="1" applyFill="1" applyBorder="1" applyAlignment="1">
      <alignment horizontal="center"/>
    </xf>
    <xf numFmtId="0" fontId="0" fillId="0" borderId="31" xfId="0" applyBorder="1"/>
    <xf numFmtId="164" fontId="0" fillId="36" borderId="32" xfId="0" applyNumberFormat="1" applyFill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0" fillId="0" borderId="27" xfId="0" applyBorder="1"/>
    <xf numFmtId="164" fontId="0" fillId="36" borderId="28" xfId="0" applyNumberFormat="1" applyFill="1" applyBorder="1" applyAlignment="1">
      <alignment horizontal="center"/>
    </xf>
    <xf numFmtId="0" fontId="29" fillId="0" borderId="14" xfId="0" applyFont="1" applyBorder="1"/>
    <xf numFmtId="0" fontId="19" fillId="38" borderId="33" xfId="0" applyFont="1" applyFill="1" applyBorder="1" applyAlignment="1">
      <alignment horizontal="center"/>
    </xf>
    <xf numFmtId="0" fontId="19" fillId="38" borderId="34" xfId="0" applyFont="1" applyFill="1" applyBorder="1" applyAlignment="1">
      <alignment horizontal="center"/>
    </xf>
    <xf numFmtId="0" fontId="0" fillId="38" borderId="34" xfId="0" applyFill="1" applyBorder="1" applyAlignment="1">
      <alignment horizontal="center"/>
    </xf>
    <xf numFmtId="0" fontId="0" fillId="38" borderId="34" xfId="0" applyFill="1" applyBorder="1"/>
    <xf numFmtId="0" fontId="0" fillId="38" borderId="35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36" borderId="32" xfId="0" applyFill="1" applyBorder="1" applyAlignment="1">
      <alignment horizontal="center"/>
    </xf>
    <xf numFmtId="0" fontId="0" fillId="36" borderId="30" xfId="0" applyFill="1" applyBorder="1" applyAlignment="1">
      <alignment horizontal="center"/>
    </xf>
    <xf numFmtId="0" fontId="0" fillId="0" borderId="32" xfId="0" applyBorder="1" applyAlignment="1">
      <alignment horizontal="center"/>
    </xf>
    <xf numFmtId="164" fontId="0" fillId="38" borderId="26" xfId="0" applyNumberFormat="1" applyFill="1" applyBorder="1" applyAlignment="1">
      <alignment horizontal="center"/>
    </xf>
    <xf numFmtId="0" fontId="22" fillId="42" borderId="0" xfId="0" applyFont="1" applyFill="1" applyAlignment="1">
      <alignment horizontal="center"/>
    </xf>
    <xf numFmtId="164" fontId="0" fillId="38" borderId="12" xfId="0" applyNumberFormat="1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19" fillId="38" borderId="12" xfId="0" applyNumberFormat="1" applyFont="1" applyFill="1" applyBorder="1" applyAlignment="1">
      <alignment horizontal="center" vertical="center" wrapText="1"/>
    </xf>
    <xf numFmtId="164" fontId="0" fillId="46" borderId="10" xfId="0" applyNumberFormat="1" applyFill="1" applyBorder="1" applyAlignment="1">
      <alignment horizontal="center"/>
    </xf>
    <xf numFmtId="164" fontId="0" fillId="46" borderId="14" xfId="0" applyNumberFormat="1" applyFill="1" applyBorder="1" applyAlignment="1">
      <alignment horizontal="center"/>
    </xf>
    <xf numFmtId="164" fontId="0" fillId="41" borderId="14" xfId="0" applyNumberFormat="1" applyFill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26" fillId="37" borderId="10" xfId="0" applyNumberFormat="1" applyFont="1" applyFill="1" applyBorder="1" applyAlignment="1">
      <alignment horizontal="center" vertical="center" wrapText="1"/>
    </xf>
    <xf numFmtId="0" fontId="29" fillId="0" borderId="20" xfId="0" applyFont="1" applyBorder="1" applyAlignment="1">
      <alignment horizontal="left" indent="1"/>
    </xf>
    <xf numFmtId="0" fontId="0" fillId="38" borderId="39" xfId="0" applyFill="1" applyBorder="1" applyAlignment="1">
      <alignment horizontal="left" indent="1"/>
    </xf>
    <xf numFmtId="0" fontId="0" fillId="38" borderId="26" xfId="0" applyFill="1" applyBorder="1" applyAlignment="1">
      <alignment horizontal="center"/>
    </xf>
    <xf numFmtId="1" fontId="19" fillId="0" borderId="29" xfId="0" applyNumberFormat="1" applyFont="1" applyBorder="1" applyAlignment="1">
      <alignment horizontal="center"/>
    </xf>
    <xf numFmtId="164" fontId="19" fillId="0" borderId="30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39" borderId="40" xfId="0" applyFill="1" applyBorder="1" applyAlignment="1">
      <alignment horizontal="left" indent="1"/>
    </xf>
    <xf numFmtId="1" fontId="23" fillId="42" borderId="12" xfId="0" applyNumberFormat="1" applyFont="1" applyFill="1" applyBorder="1" applyAlignment="1">
      <alignment horizontal="center" vertical="center" wrapText="1"/>
    </xf>
    <xf numFmtId="164" fontId="22" fillId="42" borderId="10" xfId="0" applyNumberFormat="1" applyFont="1" applyFill="1" applyBorder="1" applyAlignment="1">
      <alignment horizontal="center"/>
    </xf>
    <xf numFmtId="2" fontId="0" fillId="0" borderId="0" xfId="0" applyNumberFormat="1"/>
    <xf numFmtId="2" fontId="0" fillId="46" borderId="37" xfId="0" applyNumberFormat="1" applyFill="1" applyBorder="1" applyAlignment="1">
      <alignment horizontal="center" vertical="center"/>
    </xf>
    <xf numFmtId="1" fontId="19" fillId="40" borderId="10" xfId="0" applyNumberFormat="1" applyFont="1" applyFill="1" applyBorder="1" applyAlignment="1">
      <alignment horizontal="center" wrapText="1"/>
    </xf>
    <xf numFmtId="1" fontId="27" fillId="34" borderId="12" xfId="0" applyNumberFormat="1" applyFont="1" applyFill="1" applyBorder="1" applyAlignment="1">
      <alignment horizontal="center" vertical="center" wrapText="1"/>
    </xf>
    <xf numFmtId="1" fontId="27" fillId="34" borderId="13" xfId="0" applyNumberFormat="1" applyFont="1" applyFill="1" applyBorder="1" applyAlignment="1">
      <alignment horizontal="center" vertical="center" wrapText="1"/>
    </xf>
    <xf numFmtId="1" fontId="19" fillId="46" borderId="15" xfId="0" applyNumberFormat="1" applyFont="1" applyFill="1" applyBorder="1" applyAlignment="1">
      <alignment horizontal="center" vertical="center" wrapText="1"/>
    </xf>
    <xf numFmtId="1" fontId="0" fillId="46" borderId="38" xfId="0" applyNumberFormat="1" applyFill="1" applyBorder="1" applyAlignment="1">
      <alignment horizontal="center" vertical="center"/>
    </xf>
    <xf numFmtId="1" fontId="19" fillId="0" borderId="16" xfId="0" applyNumberFormat="1" applyFont="1" applyBorder="1" applyAlignment="1">
      <alignment horizontal="center" vertical="center" wrapText="1"/>
    </xf>
    <xf numFmtId="2" fontId="19" fillId="47" borderId="16" xfId="0" applyNumberFormat="1" applyFont="1" applyFill="1" applyBorder="1" applyAlignment="1">
      <alignment horizontal="center" vertical="center" wrapText="1"/>
    </xf>
    <xf numFmtId="1" fontId="22" fillId="33" borderId="10" xfId="0" applyNumberFormat="1" applyFont="1" applyFill="1" applyBorder="1"/>
    <xf numFmtId="164" fontId="22" fillId="33" borderId="10" xfId="0" applyNumberFormat="1" applyFont="1" applyFill="1" applyBorder="1" applyAlignment="1">
      <alignment horizontal="center"/>
    </xf>
    <xf numFmtId="2" fontId="22" fillId="47" borderId="10" xfId="0" applyNumberFormat="1" applyFont="1" applyFill="1" applyBorder="1"/>
    <xf numFmtId="164" fontId="22" fillId="42" borderId="10" xfId="0" applyNumberFormat="1" applyFont="1" applyFill="1" applyBorder="1"/>
    <xf numFmtId="164" fontId="22" fillId="42" borderId="12" xfId="0" applyNumberFormat="1" applyFont="1" applyFill="1" applyBorder="1"/>
    <xf numFmtId="164" fontId="22" fillId="45" borderId="10" xfId="0" applyNumberFormat="1" applyFont="1" applyFill="1" applyBorder="1" applyAlignment="1">
      <alignment horizontal="center"/>
    </xf>
    <xf numFmtId="164" fontId="22" fillId="37" borderId="10" xfId="0" applyNumberFormat="1" applyFont="1" applyFill="1" applyBorder="1" applyAlignment="1">
      <alignment horizontal="center"/>
    </xf>
    <xf numFmtId="164" fontId="22" fillId="38" borderId="10" xfId="0" applyNumberFormat="1" applyFont="1" applyFill="1" applyBorder="1" applyAlignment="1">
      <alignment horizontal="center"/>
    </xf>
    <xf numFmtId="164" fontId="22" fillId="38" borderId="11" xfId="0" applyNumberFormat="1" applyFont="1" applyFill="1" applyBorder="1" applyAlignment="1">
      <alignment horizontal="center"/>
    </xf>
    <xf numFmtId="164" fontId="22" fillId="40" borderId="10" xfId="0" applyNumberFormat="1" applyFont="1" applyFill="1" applyBorder="1" applyAlignment="1">
      <alignment horizontal="center"/>
    </xf>
    <xf numFmtId="164" fontId="22" fillId="34" borderId="10" xfId="0" applyNumberFormat="1" applyFont="1" applyFill="1" applyBorder="1"/>
    <xf numFmtId="164" fontId="22" fillId="35" borderId="10" xfId="0" applyNumberFormat="1" applyFont="1" applyFill="1" applyBorder="1" applyAlignment="1">
      <alignment horizontal="center"/>
    </xf>
    <xf numFmtId="164" fontId="22" fillId="46" borderId="10" xfId="0" applyNumberFormat="1" applyFont="1" applyFill="1" applyBorder="1" applyAlignment="1">
      <alignment horizontal="center"/>
    </xf>
    <xf numFmtId="164" fontId="22" fillId="0" borderId="0" xfId="0" applyNumberFormat="1" applyFont="1"/>
    <xf numFmtId="164" fontId="22" fillId="42" borderId="0" xfId="0" applyNumberFormat="1" applyFont="1" applyFill="1"/>
    <xf numFmtId="1" fontId="22" fillId="0" borderId="10" xfId="0" applyNumberFormat="1" applyFont="1" applyBorder="1"/>
    <xf numFmtId="164" fontId="22" fillId="0" borderId="10" xfId="0" applyNumberFormat="1" applyFont="1" applyBorder="1"/>
    <xf numFmtId="164" fontId="22" fillId="0" borderId="12" xfId="0" applyNumberFormat="1" applyFont="1" applyBorder="1"/>
    <xf numFmtId="164" fontId="22" fillId="0" borderId="11" xfId="0" applyNumberFormat="1" applyFont="1" applyBorder="1" applyAlignment="1">
      <alignment horizontal="center"/>
    </xf>
    <xf numFmtId="2" fontId="22" fillId="0" borderId="10" xfId="0" applyNumberFormat="1" applyFont="1" applyBorder="1"/>
    <xf numFmtId="164" fontId="22" fillId="36" borderId="10" xfId="0" applyNumberFormat="1" applyFont="1" applyFill="1" applyBorder="1" applyAlignment="1">
      <alignment horizontal="center"/>
    </xf>
    <xf numFmtId="164" fontId="22" fillId="36" borderId="10" xfId="0" applyNumberFormat="1" applyFont="1" applyFill="1" applyBorder="1"/>
    <xf numFmtId="1" fontId="22" fillId="36" borderId="10" xfId="0" applyNumberFormat="1" applyFont="1" applyFill="1" applyBorder="1"/>
    <xf numFmtId="164" fontId="22" fillId="0" borderId="0" xfId="0" applyNumberFormat="1" applyFont="1" applyAlignment="1">
      <alignment horizontal="center"/>
    </xf>
    <xf numFmtId="164" fontId="17" fillId="0" borderId="0" xfId="0" applyNumberFormat="1" applyFont="1"/>
    <xf numFmtId="2" fontId="0" fillId="0" borderId="0" xfId="0" applyNumberFormat="1" applyAlignment="1">
      <alignment horizontal="center"/>
    </xf>
    <xf numFmtId="164" fontId="53" fillId="0" borderId="0" xfId="0" applyNumberFormat="1" applyFont="1"/>
    <xf numFmtId="1" fontId="22" fillId="0" borderId="0" xfId="0" applyNumberFormat="1" applyFont="1" applyAlignment="1">
      <alignment horizontal="center"/>
    </xf>
    <xf numFmtId="0" fontId="17" fillId="0" borderId="0" xfId="0" applyFont="1"/>
    <xf numFmtId="164" fontId="19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19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36" borderId="30" xfId="0" applyNumberFormat="1" applyFill="1" applyBorder="1" applyAlignment="1">
      <alignment horizontal="center"/>
    </xf>
    <xf numFmtId="0" fontId="0" fillId="38" borderId="41" xfId="0" applyFill="1" applyBorder="1"/>
    <xf numFmtId="1" fontId="22" fillId="0" borderId="0" xfId="0" applyNumberFormat="1" applyFont="1"/>
    <xf numFmtId="0" fontId="0" fillId="48" borderId="10" xfId="0" applyFill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0" fillId="48" borderId="21" xfId="0" applyFill="1" applyBorder="1" applyAlignment="1">
      <alignment horizontal="center"/>
    </xf>
    <xf numFmtId="0" fontId="0" fillId="48" borderId="40" xfId="0" applyFill="1" applyBorder="1"/>
    <xf numFmtId="2" fontId="0" fillId="48" borderId="23" xfId="0" applyNumberFormat="1" applyFill="1" applyBorder="1" applyAlignment="1">
      <alignment horizontal="center"/>
    </xf>
    <xf numFmtId="14" fontId="0" fillId="48" borderId="10" xfId="0" applyNumberFormat="1" applyFill="1" applyBorder="1" applyAlignment="1">
      <alignment horizontal="center"/>
    </xf>
    <xf numFmtId="0" fontId="0" fillId="48" borderId="29" xfId="0" applyFill="1" applyBorder="1" applyAlignment="1">
      <alignment horizontal="center"/>
    </xf>
    <xf numFmtId="2" fontId="0" fillId="48" borderId="30" xfId="0" applyNumberFormat="1" applyFill="1" applyBorder="1" applyAlignment="1">
      <alignment horizontal="center"/>
    </xf>
    <xf numFmtId="0" fontId="0" fillId="48" borderId="22" xfId="0" applyFill="1" applyBorder="1" applyAlignment="1">
      <alignment horizontal="center"/>
    </xf>
    <xf numFmtId="14" fontId="0" fillId="48" borderId="22" xfId="0" applyNumberFormat="1" applyFill="1" applyBorder="1" applyAlignment="1">
      <alignment horizontal="center"/>
    </xf>
    <xf numFmtId="2" fontId="22" fillId="0" borderId="0" xfId="0" applyNumberFormat="1" applyFont="1"/>
    <xf numFmtId="14" fontId="19" fillId="0" borderId="10" xfId="0" applyNumberFormat="1" applyFont="1" applyBorder="1" applyAlignment="1">
      <alignment horizontal="center"/>
    </xf>
    <xf numFmtId="1" fontId="19" fillId="0" borderId="10" xfId="0" applyNumberFormat="1" applyFont="1" applyBorder="1"/>
    <xf numFmtId="0" fontId="19" fillId="0" borderId="0" xfId="0" applyFont="1" applyAlignment="1">
      <alignment horizontal="center" wrapText="1"/>
    </xf>
    <xf numFmtId="14" fontId="19" fillId="0" borderId="10" xfId="0" applyNumberFormat="1" applyFont="1" applyBorder="1" applyAlignment="1">
      <alignment horizontal="center" wrapText="1"/>
    </xf>
    <xf numFmtId="14" fontId="19" fillId="0" borderId="10" xfId="0" applyNumberFormat="1" applyFont="1" applyBorder="1" applyAlignment="1">
      <alignment horizontal="left" indent="1"/>
    </xf>
    <xf numFmtId="14" fontId="19" fillId="0" borderId="10" xfId="0" applyNumberFormat="1" applyFont="1" applyBorder="1"/>
    <xf numFmtId="0" fontId="19" fillId="38" borderId="10" xfId="0" applyFon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3" fillId="42" borderId="10" xfId="0" applyFont="1" applyFill="1" applyBorder="1" applyAlignment="1">
      <alignment horizontal="center" vertical="center" wrapText="1"/>
    </xf>
    <xf numFmtId="0" fontId="19" fillId="41" borderId="10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8" borderId="11" xfId="0" applyFont="1" applyFill="1" applyBorder="1" applyAlignment="1">
      <alignment horizontal="center" vertical="center"/>
    </xf>
    <xf numFmtId="0" fontId="19" fillId="38" borderId="13" xfId="0" applyFont="1" applyFill="1" applyBorder="1" applyAlignment="1">
      <alignment horizontal="center" vertical="center"/>
    </xf>
    <xf numFmtId="0" fontId="19" fillId="38" borderId="12" xfId="0" applyFont="1" applyFill="1" applyBorder="1" applyAlignment="1">
      <alignment horizontal="center" vertical="center"/>
    </xf>
    <xf numFmtId="0" fontId="19" fillId="44" borderId="10" xfId="0" applyFont="1" applyFill="1" applyBorder="1" applyAlignment="1">
      <alignment horizontal="center" vertical="center"/>
    </xf>
    <xf numFmtId="0" fontId="0" fillId="44" borderId="10" xfId="0" applyFill="1" applyBorder="1" applyAlignment="1">
      <alignment horizontal="center" vertical="center"/>
    </xf>
    <xf numFmtId="0" fontId="19" fillId="46" borderId="10" xfId="0" applyFont="1" applyFill="1" applyBorder="1" applyAlignment="1">
      <alignment horizontal="center" vertical="center"/>
    </xf>
    <xf numFmtId="0" fontId="0" fillId="46" borderId="10" xfId="0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 wrapText="1"/>
    </xf>
    <xf numFmtId="0" fontId="19" fillId="46" borderId="36" xfId="0" applyFont="1" applyFill="1" applyBorder="1" applyAlignment="1">
      <alignment horizontal="center" vertical="center"/>
    </xf>
    <xf numFmtId="0" fontId="0" fillId="46" borderId="37" xfId="0" applyFill="1" applyBorder="1" applyAlignment="1">
      <alignment horizontal="center" vertical="center"/>
    </xf>
    <xf numFmtId="1" fontId="19" fillId="35" borderId="11" xfId="0" applyNumberFormat="1" applyFont="1" applyFill="1" applyBorder="1" applyAlignment="1">
      <alignment horizontal="center" vertical="center" wrapText="1"/>
    </xf>
    <xf numFmtId="1" fontId="19" fillId="35" borderId="10" xfId="0" applyNumberFormat="1" applyFont="1" applyFill="1" applyBorder="1" applyAlignment="1">
      <alignment horizontal="center" vertical="center" wrapText="1"/>
    </xf>
  </cellXfs>
  <cellStyles count="237">
    <cellStyle name="20% - Accent1" xfId="19" builtinId="30" customBuiltin="1"/>
    <cellStyle name="20% - Accent1 2" xfId="56" xr:uid="{00000000-0005-0000-0000-000001000000}"/>
    <cellStyle name="20% - Accent1 2 2" xfId="173" xr:uid="{00000000-0005-0000-0000-000002000000}"/>
    <cellStyle name="20% - Accent1 3" xfId="81" xr:uid="{00000000-0005-0000-0000-000003000000}"/>
    <cellStyle name="20% - Accent1 3 2" xfId="191" xr:uid="{00000000-0005-0000-0000-000004000000}"/>
    <cellStyle name="20% - Accent1 4" xfId="95" xr:uid="{00000000-0005-0000-0000-000005000000}"/>
    <cellStyle name="20% - Accent1 4 2" xfId="205" xr:uid="{00000000-0005-0000-0000-000006000000}"/>
    <cellStyle name="20% - Accent1 5" xfId="109" xr:uid="{00000000-0005-0000-0000-000007000000}"/>
    <cellStyle name="20% - Accent1 6" xfId="145" xr:uid="{00000000-0005-0000-0000-000008000000}"/>
    <cellStyle name="20% - Accent1 7" xfId="224" xr:uid="{00000000-0005-0000-0000-000009000000}"/>
    <cellStyle name="20% - Accent2" xfId="23" builtinId="34" customBuiltin="1"/>
    <cellStyle name="20% - Accent2 2" xfId="60" xr:uid="{00000000-0005-0000-0000-00000B000000}"/>
    <cellStyle name="20% - Accent2 2 2" xfId="177" xr:uid="{00000000-0005-0000-0000-00000C000000}"/>
    <cellStyle name="20% - Accent2 3" xfId="83" xr:uid="{00000000-0005-0000-0000-00000D000000}"/>
    <cellStyle name="20% - Accent2 3 2" xfId="193" xr:uid="{00000000-0005-0000-0000-00000E000000}"/>
    <cellStyle name="20% - Accent2 4" xfId="97" xr:uid="{00000000-0005-0000-0000-00000F000000}"/>
    <cellStyle name="20% - Accent2 4 2" xfId="207" xr:uid="{00000000-0005-0000-0000-000010000000}"/>
    <cellStyle name="20% - Accent2 5" xfId="111" xr:uid="{00000000-0005-0000-0000-000011000000}"/>
    <cellStyle name="20% - Accent2 6" xfId="149" xr:uid="{00000000-0005-0000-0000-000012000000}"/>
    <cellStyle name="20% - Accent2 7" xfId="236" xr:uid="{00000000-0005-0000-0000-000013000000}"/>
    <cellStyle name="20% - Accent3" xfId="27" builtinId="38" customBuiltin="1"/>
    <cellStyle name="20% - Accent3 2" xfId="64" xr:uid="{00000000-0005-0000-0000-000015000000}"/>
    <cellStyle name="20% - Accent3 2 2" xfId="179" xr:uid="{00000000-0005-0000-0000-000016000000}"/>
    <cellStyle name="20% - Accent3 3" xfId="85" xr:uid="{00000000-0005-0000-0000-000017000000}"/>
    <cellStyle name="20% - Accent3 3 2" xfId="195" xr:uid="{00000000-0005-0000-0000-000018000000}"/>
    <cellStyle name="20% - Accent3 4" xfId="99" xr:uid="{00000000-0005-0000-0000-000019000000}"/>
    <cellStyle name="20% - Accent3 4 2" xfId="209" xr:uid="{00000000-0005-0000-0000-00001A000000}"/>
    <cellStyle name="20% - Accent3 5" xfId="113" xr:uid="{00000000-0005-0000-0000-00001B000000}"/>
    <cellStyle name="20% - Accent3 6" xfId="153" xr:uid="{00000000-0005-0000-0000-00001C000000}"/>
    <cellStyle name="20% - Accent3 7" xfId="229" xr:uid="{00000000-0005-0000-0000-00001D000000}"/>
    <cellStyle name="20% - Accent4" xfId="31" builtinId="42" customBuiltin="1"/>
    <cellStyle name="20% - Accent4 2" xfId="68" xr:uid="{00000000-0005-0000-0000-00001F000000}"/>
    <cellStyle name="20% - Accent4 2 2" xfId="182" xr:uid="{00000000-0005-0000-0000-000020000000}"/>
    <cellStyle name="20% - Accent4 3" xfId="87" xr:uid="{00000000-0005-0000-0000-000021000000}"/>
    <cellStyle name="20% - Accent4 3 2" xfId="197" xr:uid="{00000000-0005-0000-0000-000022000000}"/>
    <cellStyle name="20% - Accent4 4" xfId="101" xr:uid="{00000000-0005-0000-0000-000023000000}"/>
    <cellStyle name="20% - Accent4 4 2" xfId="211" xr:uid="{00000000-0005-0000-0000-000024000000}"/>
    <cellStyle name="20% - Accent4 5" xfId="115" xr:uid="{00000000-0005-0000-0000-000025000000}"/>
    <cellStyle name="20% - Accent4 6" xfId="157" xr:uid="{00000000-0005-0000-0000-000026000000}"/>
    <cellStyle name="20% - Accent4 7" xfId="219" xr:uid="{00000000-0005-0000-0000-000027000000}"/>
    <cellStyle name="20% - Accent5" xfId="35" builtinId="46" customBuiltin="1"/>
    <cellStyle name="20% - Accent5 2" xfId="72" xr:uid="{00000000-0005-0000-0000-000029000000}"/>
    <cellStyle name="20% - Accent5 2 2" xfId="184" xr:uid="{00000000-0005-0000-0000-00002A000000}"/>
    <cellStyle name="20% - Accent5 3" xfId="89" xr:uid="{00000000-0005-0000-0000-00002B000000}"/>
    <cellStyle name="20% - Accent5 3 2" xfId="199" xr:uid="{00000000-0005-0000-0000-00002C000000}"/>
    <cellStyle name="20% - Accent5 4" xfId="103" xr:uid="{00000000-0005-0000-0000-00002D000000}"/>
    <cellStyle name="20% - Accent5 4 2" xfId="213" xr:uid="{00000000-0005-0000-0000-00002E000000}"/>
    <cellStyle name="20% - Accent5 5" xfId="117" xr:uid="{00000000-0005-0000-0000-00002F000000}"/>
    <cellStyle name="20% - Accent5 6" xfId="161" xr:uid="{00000000-0005-0000-0000-000030000000}"/>
    <cellStyle name="20% - Accent5 7" xfId="221" xr:uid="{00000000-0005-0000-0000-000031000000}"/>
    <cellStyle name="20% - Accent6" xfId="39" builtinId="50" customBuiltin="1"/>
    <cellStyle name="20% - Accent6 2" xfId="76" xr:uid="{00000000-0005-0000-0000-000033000000}"/>
    <cellStyle name="20% - Accent6 2 2" xfId="187" xr:uid="{00000000-0005-0000-0000-000034000000}"/>
    <cellStyle name="20% - Accent6 3" xfId="91" xr:uid="{00000000-0005-0000-0000-000035000000}"/>
    <cellStyle name="20% - Accent6 3 2" xfId="201" xr:uid="{00000000-0005-0000-0000-000036000000}"/>
    <cellStyle name="20% - Accent6 4" xfId="105" xr:uid="{00000000-0005-0000-0000-000037000000}"/>
    <cellStyle name="20% - Accent6 4 2" xfId="215" xr:uid="{00000000-0005-0000-0000-000038000000}"/>
    <cellStyle name="20% - Accent6 5" xfId="119" xr:uid="{00000000-0005-0000-0000-000039000000}"/>
    <cellStyle name="20% - Accent6 6" xfId="165" xr:uid="{00000000-0005-0000-0000-00003A000000}"/>
    <cellStyle name="20% - Accent6 7" xfId="234" xr:uid="{00000000-0005-0000-0000-00003B000000}"/>
    <cellStyle name="40% - Accent1" xfId="20" builtinId="31" customBuiltin="1"/>
    <cellStyle name="40% - Accent1 2" xfId="57" xr:uid="{00000000-0005-0000-0000-00003D000000}"/>
    <cellStyle name="40% - Accent1 2 2" xfId="174" xr:uid="{00000000-0005-0000-0000-00003E000000}"/>
    <cellStyle name="40% - Accent1 3" xfId="82" xr:uid="{00000000-0005-0000-0000-00003F000000}"/>
    <cellStyle name="40% - Accent1 3 2" xfId="192" xr:uid="{00000000-0005-0000-0000-000040000000}"/>
    <cellStyle name="40% - Accent1 4" xfId="96" xr:uid="{00000000-0005-0000-0000-000041000000}"/>
    <cellStyle name="40% - Accent1 4 2" xfId="206" xr:uid="{00000000-0005-0000-0000-000042000000}"/>
    <cellStyle name="40% - Accent1 5" xfId="110" xr:uid="{00000000-0005-0000-0000-000043000000}"/>
    <cellStyle name="40% - Accent1 6" xfId="146" xr:uid="{00000000-0005-0000-0000-000044000000}"/>
    <cellStyle name="40% - Accent1 7" xfId="217" xr:uid="{00000000-0005-0000-0000-000045000000}"/>
    <cellStyle name="40% - Accent2" xfId="24" builtinId="35" customBuiltin="1"/>
    <cellStyle name="40% - Accent2 2" xfId="61" xr:uid="{00000000-0005-0000-0000-000047000000}"/>
    <cellStyle name="40% - Accent2 2 2" xfId="178" xr:uid="{00000000-0005-0000-0000-000048000000}"/>
    <cellStyle name="40% - Accent2 3" xfId="84" xr:uid="{00000000-0005-0000-0000-000049000000}"/>
    <cellStyle name="40% - Accent2 3 2" xfId="194" xr:uid="{00000000-0005-0000-0000-00004A000000}"/>
    <cellStyle name="40% - Accent2 4" xfId="98" xr:uid="{00000000-0005-0000-0000-00004B000000}"/>
    <cellStyle name="40% - Accent2 4 2" xfId="208" xr:uid="{00000000-0005-0000-0000-00004C000000}"/>
    <cellStyle name="40% - Accent2 5" xfId="112" xr:uid="{00000000-0005-0000-0000-00004D000000}"/>
    <cellStyle name="40% - Accent2 6" xfId="150" xr:uid="{00000000-0005-0000-0000-00004E000000}"/>
    <cellStyle name="40% - Accent2 7" xfId="218" xr:uid="{00000000-0005-0000-0000-00004F000000}"/>
    <cellStyle name="40% - Accent3" xfId="28" builtinId="39" customBuiltin="1"/>
    <cellStyle name="40% - Accent3 2" xfId="65" xr:uid="{00000000-0005-0000-0000-000051000000}"/>
    <cellStyle name="40% - Accent3 2 2" xfId="180" xr:uid="{00000000-0005-0000-0000-000052000000}"/>
    <cellStyle name="40% - Accent3 3" xfId="86" xr:uid="{00000000-0005-0000-0000-000053000000}"/>
    <cellStyle name="40% - Accent3 3 2" xfId="196" xr:uid="{00000000-0005-0000-0000-000054000000}"/>
    <cellStyle name="40% - Accent3 4" xfId="100" xr:uid="{00000000-0005-0000-0000-000055000000}"/>
    <cellStyle name="40% - Accent3 4 2" xfId="210" xr:uid="{00000000-0005-0000-0000-000056000000}"/>
    <cellStyle name="40% - Accent3 5" xfId="114" xr:uid="{00000000-0005-0000-0000-000057000000}"/>
    <cellStyle name="40% - Accent3 6" xfId="154" xr:uid="{00000000-0005-0000-0000-000058000000}"/>
    <cellStyle name="40% - Accent3 7" xfId="121" xr:uid="{00000000-0005-0000-0000-000059000000}"/>
    <cellStyle name="40% - Accent4" xfId="32" builtinId="43" customBuiltin="1"/>
    <cellStyle name="40% - Accent4 2" xfId="69" xr:uid="{00000000-0005-0000-0000-00005B000000}"/>
    <cellStyle name="40% - Accent4 2 2" xfId="183" xr:uid="{00000000-0005-0000-0000-00005C000000}"/>
    <cellStyle name="40% - Accent4 3" xfId="88" xr:uid="{00000000-0005-0000-0000-00005D000000}"/>
    <cellStyle name="40% - Accent4 3 2" xfId="198" xr:uid="{00000000-0005-0000-0000-00005E000000}"/>
    <cellStyle name="40% - Accent4 4" xfId="102" xr:uid="{00000000-0005-0000-0000-00005F000000}"/>
    <cellStyle name="40% - Accent4 4 2" xfId="212" xr:uid="{00000000-0005-0000-0000-000060000000}"/>
    <cellStyle name="40% - Accent4 5" xfId="116" xr:uid="{00000000-0005-0000-0000-000061000000}"/>
    <cellStyle name="40% - Accent4 6" xfId="158" xr:uid="{00000000-0005-0000-0000-000062000000}"/>
    <cellStyle name="40% - Accent4 7" xfId="126" xr:uid="{00000000-0005-0000-0000-000063000000}"/>
    <cellStyle name="40% - Accent5" xfId="36" builtinId="47" customBuiltin="1"/>
    <cellStyle name="40% - Accent5 2" xfId="73" xr:uid="{00000000-0005-0000-0000-000065000000}"/>
    <cellStyle name="40% - Accent5 2 2" xfId="185" xr:uid="{00000000-0005-0000-0000-000066000000}"/>
    <cellStyle name="40% - Accent5 3" xfId="90" xr:uid="{00000000-0005-0000-0000-000067000000}"/>
    <cellStyle name="40% - Accent5 3 2" xfId="200" xr:uid="{00000000-0005-0000-0000-000068000000}"/>
    <cellStyle name="40% - Accent5 4" xfId="104" xr:uid="{00000000-0005-0000-0000-000069000000}"/>
    <cellStyle name="40% - Accent5 4 2" xfId="214" xr:uid="{00000000-0005-0000-0000-00006A000000}"/>
    <cellStyle name="40% - Accent5 5" xfId="118" xr:uid="{00000000-0005-0000-0000-00006B000000}"/>
    <cellStyle name="40% - Accent5 6" xfId="162" xr:uid="{00000000-0005-0000-0000-00006C000000}"/>
    <cellStyle name="40% - Accent5 7" xfId="124" xr:uid="{00000000-0005-0000-0000-00006D000000}"/>
    <cellStyle name="40% - Accent6" xfId="40" builtinId="51" customBuiltin="1"/>
    <cellStyle name="40% - Accent6 2" xfId="77" xr:uid="{00000000-0005-0000-0000-00006F000000}"/>
    <cellStyle name="40% - Accent6 2 2" xfId="188" xr:uid="{00000000-0005-0000-0000-000070000000}"/>
    <cellStyle name="40% - Accent6 3" xfId="92" xr:uid="{00000000-0005-0000-0000-000071000000}"/>
    <cellStyle name="40% - Accent6 3 2" xfId="202" xr:uid="{00000000-0005-0000-0000-000072000000}"/>
    <cellStyle name="40% - Accent6 4" xfId="106" xr:uid="{00000000-0005-0000-0000-000073000000}"/>
    <cellStyle name="40% - Accent6 4 2" xfId="216" xr:uid="{00000000-0005-0000-0000-000074000000}"/>
    <cellStyle name="40% - Accent6 5" xfId="120" xr:uid="{00000000-0005-0000-0000-000075000000}"/>
    <cellStyle name="40% - Accent6 6" xfId="166" xr:uid="{00000000-0005-0000-0000-000076000000}"/>
    <cellStyle name="40% - Accent6 7" xfId="227" xr:uid="{00000000-0005-0000-0000-000077000000}"/>
    <cellStyle name="60% - Accent1" xfId="21" builtinId="32" customBuiltin="1"/>
    <cellStyle name="60% - Accent1 2" xfId="58" xr:uid="{00000000-0005-0000-0000-000079000000}"/>
    <cellStyle name="60% - Accent1 3" xfId="147" xr:uid="{00000000-0005-0000-0000-00007A000000}"/>
    <cellStyle name="60% - Accent1 4" xfId="232" xr:uid="{00000000-0005-0000-0000-00007B000000}"/>
    <cellStyle name="60% - Accent2" xfId="25" builtinId="36" customBuiltin="1"/>
    <cellStyle name="60% - Accent2 2" xfId="62" xr:uid="{00000000-0005-0000-0000-00007D000000}"/>
    <cellStyle name="60% - Accent2 3" xfId="151" xr:uid="{00000000-0005-0000-0000-00007E000000}"/>
    <cellStyle name="60% - Accent2 4" xfId="169" xr:uid="{00000000-0005-0000-0000-00007F000000}"/>
    <cellStyle name="60% - Accent3" xfId="29" builtinId="40" customBuiltin="1"/>
    <cellStyle name="60% - Accent3 2" xfId="66" xr:uid="{00000000-0005-0000-0000-000081000000}"/>
    <cellStyle name="60% - Accent3 3" xfId="155" xr:uid="{00000000-0005-0000-0000-000082000000}"/>
    <cellStyle name="60% - Accent3 4" xfId="231" xr:uid="{00000000-0005-0000-0000-000083000000}"/>
    <cellStyle name="60% - Accent4" xfId="33" builtinId="44" customBuiltin="1"/>
    <cellStyle name="60% - Accent4 2" xfId="70" xr:uid="{00000000-0005-0000-0000-000085000000}"/>
    <cellStyle name="60% - Accent4 3" xfId="159" xr:uid="{00000000-0005-0000-0000-000086000000}"/>
    <cellStyle name="60% - Accent4 4" xfId="130" xr:uid="{00000000-0005-0000-0000-000087000000}"/>
    <cellStyle name="60% - Accent5" xfId="37" builtinId="48" customBuiltin="1"/>
    <cellStyle name="60% - Accent5 2" xfId="74" xr:uid="{00000000-0005-0000-0000-000089000000}"/>
    <cellStyle name="60% - Accent5 3" xfId="163" xr:uid="{00000000-0005-0000-0000-00008A000000}"/>
    <cellStyle name="60% - Accent5 4" xfId="122" xr:uid="{00000000-0005-0000-0000-00008B000000}"/>
    <cellStyle name="60% - Accent6" xfId="41" builtinId="52" customBuiltin="1"/>
    <cellStyle name="60% - Accent6 2" xfId="78" xr:uid="{00000000-0005-0000-0000-00008D000000}"/>
    <cellStyle name="60% - Accent6 3" xfId="167" xr:uid="{00000000-0005-0000-0000-00008E000000}"/>
    <cellStyle name="60% - Accent6 4" xfId="129" xr:uid="{00000000-0005-0000-0000-00008F000000}"/>
    <cellStyle name="Accent1" xfId="18" builtinId="29" customBuiltin="1"/>
    <cellStyle name="Accent1 2" xfId="55" xr:uid="{00000000-0005-0000-0000-000091000000}"/>
    <cellStyle name="Accent1 3" xfId="144" xr:uid="{00000000-0005-0000-0000-000092000000}"/>
    <cellStyle name="Accent1 4" xfId="235" xr:uid="{00000000-0005-0000-0000-000093000000}"/>
    <cellStyle name="Accent2" xfId="22" builtinId="33" customBuiltin="1"/>
    <cellStyle name="Accent2 2" xfId="59" xr:uid="{00000000-0005-0000-0000-000095000000}"/>
    <cellStyle name="Accent2 3" xfId="148" xr:uid="{00000000-0005-0000-0000-000096000000}"/>
    <cellStyle name="Accent2 4" xfId="226" xr:uid="{00000000-0005-0000-0000-000097000000}"/>
    <cellStyle name="Accent3" xfId="26" builtinId="37" customBuiltin="1"/>
    <cellStyle name="Accent3 2" xfId="63" xr:uid="{00000000-0005-0000-0000-000099000000}"/>
    <cellStyle name="Accent3 3" xfId="152" xr:uid="{00000000-0005-0000-0000-00009A000000}"/>
    <cellStyle name="Accent3 4" xfId="175" xr:uid="{00000000-0005-0000-0000-00009B000000}"/>
    <cellStyle name="Accent4" xfId="30" builtinId="41" customBuiltin="1"/>
    <cellStyle name="Accent4 2" xfId="67" xr:uid="{00000000-0005-0000-0000-00009D000000}"/>
    <cellStyle name="Accent4 3" xfId="156" xr:uid="{00000000-0005-0000-0000-00009E000000}"/>
    <cellStyle name="Accent4 4" xfId="186" xr:uid="{00000000-0005-0000-0000-00009F000000}"/>
    <cellStyle name="Accent5" xfId="34" builtinId="45" customBuiltin="1"/>
    <cellStyle name="Accent5 2" xfId="71" xr:uid="{00000000-0005-0000-0000-0000A1000000}"/>
    <cellStyle name="Accent5 3" xfId="160" xr:uid="{00000000-0005-0000-0000-0000A2000000}"/>
    <cellStyle name="Accent5 4" xfId="233" xr:uid="{00000000-0005-0000-0000-0000A3000000}"/>
    <cellStyle name="Accent6" xfId="38" builtinId="49" customBuiltin="1"/>
    <cellStyle name="Accent6 2" xfId="75" xr:uid="{00000000-0005-0000-0000-0000A5000000}"/>
    <cellStyle name="Accent6 3" xfId="164" xr:uid="{00000000-0005-0000-0000-0000A6000000}"/>
    <cellStyle name="Accent6 4" xfId="230" xr:uid="{00000000-0005-0000-0000-0000A7000000}"/>
    <cellStyle name="Bad" xfId="7" builtinId="27" customBuiltin="1"/>
    <cellStyle name="Bad 2" xfId="47" xr:uid="{00000000-0005-0000-0000-0000A9000000}"/>
    <cellStyle name="Bad 3" xfId="133" xr:uid="{00000000-0005-0000-0000-0000AA000000}"/>
    <cellStyle name="Bad 4" xfId="172" xr:uid="{00000000-0005-0000-0000-0000AB000000}"/>
    <cellStyle name="Calculation" xfId="11" builtinId="22" customBuiltin="1"/>
    <cellStyle name="Calculation 2" xfId="48" xr:uid="{00000000-0005-0000-0000-0000AD000000}"/>
    <cellStyle name="Calculation 3" xfId="137" xr:uid="{00000000-0005-0000-0000-0000AE000000}"/>
    <cellStyle name="Calculation 4" xfId="127" xr:uid="{00000000-0005-0000-0000-0000AF000000}"/>
    <cellStyle name="Check Cell" xfId="13" builtinId="23" customBuiltin="1"/>
    <cellStyle name="Check Cell 2" xfId="50" xr:uid="{00000000-0005-0000-0000-0000B1000000}"/>
    <cellStyle name="Check Cell 3" xfId="139" xr:uid="{00000000-0005-0000-0000-0000B2000000}"/>
    <cellStyle name="Check Cell 4" xfId="125" xr:uid="{00000000-0005-0000-0000-0000B3000000}"/>
    <cellStyle name="Explanatory Text" xfId="16" builtinId="53" customBuiltin="1"/>
    <cellStyle name="Explanatory Text 2" xfId="53" xr:uid="{00000000-0005-0000-0000-0000B5000000}"/>
    <cellStyle name="Explanatory Text 3" xfId="142" xr:uid="{00000000-0005-0000-0000-0000B6000000}"/>
    <cellStyle name="Explanatory Text 4" xfId="181" xr:uid="{00000000-0005-0000-0000-0000B7000000}"/>
    <cellStyle name="Good" xfId="6" builtinId="26" customBuiltin="1"/>
    <cellStyle name="Good 2" xfId="43" xr:uid="{00000000-0005-0000-0000-0000B9000000}"/>
    <cellStyle name="Good 3" xfId="132" xr:uid="{00000000-0005-0000-0000-0000BA000000}"/>
    <cellStyle name="Good 4" xfId="123" xr:uid="{00000000-0005-0000-0000-0000BB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 xr:uid="{00000000-0005-0000-0000-0000C1000000}"/>
    <cellStyle name="Input 3" xfId="135" xr:uid="{00000000-0005-0000-0000-0000C2000000}"/>
    <cellStyle name="Input 4" xfId="225" xr:uid="{00000000-0005-0000-0000-0000C3000000}"/>
    <cellStyle name="Linked Cell" xfId="12" builtinId="24" customBuiltin="1"/>
    <cellStyle name="Linked Cell 2" xfId="46" xr:uid="{00000000-0005-0000-0000-0000C5000000}"/>
    <cellStyle name="Linked Cell 3" xfId="138" xr:uid="{00000000-0005-0000-0000-0000C6000000}"/>
    <cellStyle name="Linked Cell 4" xfId="222" xr:uid="{00000000-0005-0000-0000-0000C7000000}"/>
    <cellStyle name="Neutral" xfId="8" builtinId="28" customBuiltin="1"/>
    <cellStyle name="Neutral 2" xfId="42" xr:uid="{00000000-0005-0000-0000-0000C9000000}"/>
    <cellStyle name="Neutral 3" xfId="134" xr:uid="{00000000-0005-0000-0000-0000CA000000}"/>
    <cellStyle name="Neutral 4" xfId="223" xr:uid="{00000000-0005-0000-0000-0000CB000000}"/>
    <cellStyle name="Normal" xfId="0" builtinId="0"/>
    <cellStyle name="Normal 2" xfId="49" xr:uid="{00000000-0005-0000-0000-0000CD000000}"/>
    <cellStyle name="Normal 2 2" xfId="168" xr:uid="{00000000-0005-0000-0000-0000CE000000}"/>
    <cellStyle name="Normal 3" xfId="79" xr:uid="{00000000-0005-0000-0000-0000CF000000}"/>
    <cellStyle name="Normal 3 2" xfId="189" xr:uid="{00000000-0005-0000-0000-0000D0000000}"/>
    <cellStyle name="Normal 4" xfId="93" xr:uid="{00000000-0005-0000-0000-0000D1000000}"/>
    <cellStyle name="Normal 4 2" xfId="203" xr:uid="{00000000-0005-0000-0000-0000D2000000}"/>
    <cellStyle name="Normal 5" xfId="107" xr:uid="{00000000-0005-0000-0000-0000D3000000}"/>
    <cellStyle name="Normal 6" xfId="131" xr:uid="{00000000-0005-0000-0000-0000D4000000}"/>
    <cellStyle name="Normal 7" xfId="170" xr:uid="{00000000-0005-0000-0000-0000D5000000}"/>
    <cellStyle name="Note" xfId="15" builtinId="10" customBuiltin="1"/>
    <cellStyle name="Note 2" xfId="52" xr:uid="{00000000-0005-0000-0000-0000D7000000}"/>
    <cellStyle name="Note 2 2" xfId="171" xr:uid="{00000000-0005-0000-0000-0000D8000000}"/>
    <cellStyle name="Note 3" xfId="80" xr:uid="{00000000-0005-0000-0000-0000D9000000}"/>
    <cellStyle name="Note 3 2" xfId="190" xr:uid="{00000000-0005-0000-0000-0000DA000000}"/>
    <cellStyle name="Note 4" xfId="94" xr:uid="{00000000-0005-0000-0000-0000DB000000}"/>
    <cellStyle name="Note 4 2" xfId="204" xr:uid="{00000000-0005-0000-0000-0000DC000000}"/>
    <cellStyle name="Note 5" xfId="108" xr:uid="{00000000-0005-0000-0000-0000DD000000}"/>
    <cellStyle name="Note 6" xfId="141" xr:uid="{00000000-0005-0000-0000-0000DE000000}"/>
    <cellStyle name="Note 7" xfId="128" xr:uid="{00000000-0005-0000-0000-0000DF000000}"/>
    <cellStyle name="Output" xfId="10" builtinId="21" customBuiltin="1"/>
    <cellStyle name="Output 2" xfId="45" xr:uid="{00000000-0005-0000-0000-0000E1000000}"/>
    <cellStyle name="Output 3" xfId="136" xr:uid="{00000000-0005-0000-0000-0000E2000000}"/>
    <cellStyle name="Output 4" xfId="176" xr:uid="{00000000-0005-0000-0000-0000E3000000}"/>
    <cellStyle name="Title" xfId="1" builtinId="15" customBuiltin="1"/>
    <cellStyle name="Total" xfId="17" builtinId="25" customBuiltin="1"/>
    <cellStyle name="Total 2" xfId="54" xr:uid="{00000000-0005-0000-0000-0000E6000000}"/>
    <cellStyle name="Total 3" xfId="143" xr:uid="{00000000-0005-0000-0000-0000E7000000}"/>
    <cellStyle name="Total 4" xfId="220" xr:uid="{00000000-0005-0000-0000-0000E8000000}"/>
    <cellStyle name="Warning Text" xfId="14" builtinId="11" customBuiltin="1"/>
    <cellStyle name="Warning Text 2" xfId="51" xr:uid="{00000000-0005-0000-0000-0000EA000000}"/>
    <cellStyle name="Warning Text 3" xfId="140" xr:uid="{00000000-0005-0000-0000-0000EB000000}"/>
    <cellStyle name="Warning Text 4" xfId="228" xr:uid="{00000000-0005-0000-0000-0000EC000000}"/>
  </cellStyles>
  <dxfs count="0"/>
  <tableStyles count="0" defaultTableStyle="TableStyleMedium2" defaultPivotStyle="PivotStyleLight16"/>
  <colors>
    <mruColors>
      <color rgb="FFDA9694"/>
      <color rgb="FFFFFF99"/>
      <color rgb="FFEBF1DE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10</xdr:row>
      <xdr:rowOff>28575</xdr:rowOff>
    </xdr:from>
    <xdr:to>
      <xdr:col>17</xdr:col>
      <xdr:colOff>561601</xdr:colOff>
      <xdr:row>11</xdr:row>
      <xdr:rowOff>152361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29325" y="3914775"/>
          <a:ext cx="2990476" cy="3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276225</xdr:colOff>
      <xdr:row>6</xdr:row>
      <xdr:rowOff>66675</xdr:rowOff>
    </xdr:from>
    <xdr:to>
      <xdr:col>18</xdr:col>
      <xdr:colOff>218701</xdr:colOff>
      <xdr:row>7</xdr:row>
      <xdr:rowOff>190461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1266825"/>
          <a:ext cx="2990476" cy="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AA312"/>
  <sheetViews>
    <sheetView workbookViewId="0">
      <selection activeCell="K77" sqref="K77"/>
    </sheetView>
  </sheetViews>
  <sheetFormatPr defaultRowHeight="15" x14ac:dyDescent="0.25"/>
  <cols>
    <col min="2" max="3" width="9.140625" customWidth="1"/>
    <col min="5" max="5" width="18.140625" style="82" customWidth="1"/>
    <col min="6" max="6" width="9.140625" style="82" customWidth="1"/>
    <col min="7" max="7" width="19" style="82" customWidth="1"/>
    <col min="8" max="8" width="9.140625" style="82" customWidth="1"/>
    <col min="9" max="9" width="14.42578125" style="82" customWidth="1"/>
    <col min="10" max="10" width="8.85546875" style="112" customWidth="1"/>
    <col min="11" max="11" width="9.140625" style="180" customWidth="1"/>
    <col min="12" max="12" width="9.140625" style="119" customWidth="1"/>
    <col min="13" max="13" width="15.140625" style="19" customWidth="1"/>
    <col min="14" max="14" width="9.140625" style="19" customWidth="1"/>
    <col min="15" max="15" width="9.140625" style="166" customWidth="1"/>
    <col min="16" max="16" width="9.140625" style="18" customWidth="1"/>
    <col min="17" max="17" width="12.140625" customWidth="1"/>
    <col min="18" max="18" width="9.140625" customWidth="1"/>
    <col min="19" max="21" width="9.140625" style="11" customWidth="1"/>
    <col min="22" max="23" width="9.140625" customWidth="1"/>
  </cols>
  <sheetData>
    <row r="1" spans="1:23" ht="45" x14ac:dyDescent="0.25">
      <c r="A1" s="487" t="s">
        <v>0</v>
      </c>
      <c r="B1" s="487"/>
      <c r="C1" s="487"/>
      <c r="D1" s="487"/>
      <c r="E1" s="488" t="s">
        <v>1</v>
      </c>
      <c r="F1" s="488"/>
      <c r="G1" s="488"/>
      <c r="H1" s="488"/>
      <c r="I1" s="70"/>
      <c r="J1" s="101"/>
      <c r="K1" s="142" t="s">
        <v>2</v>
      </c>
      <c r="L1" s="53" t="s">
        <v>3</v>
      </c>
      <c r="M1" s="489" t="s">
        <v>4</v>
      </c>
      <c r="N1" s="489"/>
      <c r="O1" s="169" t="s">
        <v>5</v>
      </c>
      <c r="P1" s="490" t="s">
        <v>6</v>
      </c>
      <c r="Q1" s="490"/>
      <c r="R1" s="491" t="s">
        <v>7</v>
      </c>
      <c r="S1" s="483" t="s">
        <v>8</v>
      </c>
      <c r="T1" s="484"/>
      <c r="U1" s="484"/>
      <c r="V1" s="88" t="s">
        <v>9</v>
      </c>
      <c r="W1" s="49"/>
    </row>
    <row r="2" spans="1:23" ht="36" x14ac:dyDescent="0.25">
      <c r="A2" s="5" t="s">
        <v>10</v>
      </c>
      <c r="B2" s="2" t="s">
        <v>11</v>
      </c>
      <c r="C2" s="2" t="s">
        <v>12</v>
      </c>
      <c r="D2" s="3" t="s">
        <v>13</v>
      </c>
      <c r="E2" s="71" t="s">
        <v>14</v>
      </c>
      <c r="F2" s="72" t="s">
        <v>15</v>
      </c>
      <c r="G2" s="71" t="s">
        <v>16</v>
      </c>
      <c r="H2" s="72" t="s">
        <v>17</v>
      </c>
      <c r="I2" s="71" t="s">
        <v>18</v>
      </c>
      <c r="J2" s="102" t="s">
        <v>19</v>
      </c>
      <c r="K2" s="135" t="s">
        <v>20</v>
      </c>
      <c r="L2" s="52" t="s">
        <v>21</v>
      </c>
      <c r="M2" s="113" t="s">
        <v>22</v>
      </c>
      <c r="N2" s="68" t="s">
        <v>23</v>
      </c>
      <c r="O2" s="164" t="s">
        <v>24</v>
      </c>
      <c r="P2" s="30" t="s">
        <v>25</v>
      </c>
      <c r="Q2" s="47" t="s">
        <v>26</v>
      </c>
      <c r="R2" s="491"/>
      <c r="S2" s="94" t="s">
        <v>27</v>
      </c>
      <c r="T2" s="94" t="s">
        <v>28</v>
      </c>
      <c r="U2" s="94" t="s">
        <v>29</v>
      </c>
      <c r="V2" s="92" t="s">
        <v>30</v>
      </c>
      <c r="W2" s="50" t="s">
        <v>31</v>
      </c>
    </row>
    <row r="3" spans="1:23" x14ac:dyDescent="0.25">
      <c r="A3" s="1">
        <v>11532</v>
      </c>
      <c r="B3" s="1" t="s">
        <v>32</v>
      </c>
      <c r="C3" s="1" t="s">
        <v>33</v>
      </c>
      <c r="D3" s="4">
        <v>12.775228569039999</v>
      </c>
      <c r="E3" s="79" t="s">
        <v>34</v>
      </c>
      <c r="F3" s="74">
        <v>12.775228569039999</v>
      </c>
      <c r="G3" s="73"/>
      <c r="H3" s="74"/>
      <c r="I3" s="74"/>
      <c r="J3" s="105"/>
      <c r="K3" s="157">
        <v>5.5222175481000004</v>
      </c>
      <c r="L3" s="54">
        <v>8.5010050564099995</v>
      </c>
      <c r="M3" s="115"/>
      <c r="N3" s="67"/>
      <c r="O3" s="130"/>
      <c r="P3" s="6">
        <v>12.775228568999999</v>
      </c>
      <c r="Q3" s="16">
        <f>D3-P3</f>
        <v>4.000000330961484E-11</v>
      </c>
      <c r="R3" s="8">
        <v>0</v>
      </c>
      <c r="S3" s="13">
        <v>2.9134995667200001</v>
      </c>
      <c r="T3" s="13">
        <v>0</v>
      </c>
      <c r="U3" s="13">
        <v>4.7321389501600004</v>
      </c>
      <c r="V3" s="45">
        <v>2.8307909267200002</v>
      </c>
      <c r="W3" s="25">
        <f xml:space="preserve"> D3-(S3+T3+U3+V3)</f>
        <v>2.2987991254399986</v>
      </c>
    </row>
    <row r="4" spans="1:23" x14ac:dyDescent="0.25">
      <c r="A4" s="1">
        <v>11534</v>
      </c>
      <c r="B4" s="1" t="s">
        <v>32</v>
      </c>
      <c r="C4" s="1" t="s">
        <v>33</v>
      </c>
      <c r="D4" s="4">
        <v>45.40446627491</v>
      </c>
      <c r="E4" s="79" t="s">
        <v>35</v>
      </c>
      <c r="F4" s="74">
        <v>45.40446627491</v>
      </c>
      <c r="G4" s="75"/>
      <c r="H4" s="76"/>
      <c r="I4" s="77"/>
      <c r="J4" s="109"/>
      <c r="K4" s="157">
        <v>1.09057700347</v>
      </c>
      <c r="L4" s="54">
        <v>0</v>
      </c>
      <c r="M4" s="115"/>
      <c r="N4" s="67"/>
      <c r="O4" s="173"/>
      <c r="P4" s="6">
        <v>45.404466274900003</v>
      </c>
      <c r="Q4" s="16">
        <f t="shared" ref="Q4:Q67" si="0">D4-P4</f>
        <v>9.9973362921446096E-12</v>
      </c>
      <c r="R4" s="8">
        <v>0</v>
      </c>
      <c r="S4" s="13">
        <v>28.8140723526</v>
      </c>
      <c r="T4" s="13">
        <v>0.88634737452099999</v>
      </c>
      <c r="U4" s="13">
        <v>12.9533468588</v>
      </c>
      <c r="V4" s="45">
        <v>0</v>
      </c>
      <c r="W4" s="25">
        <f t="shared" ref="W4:W39" si="1" xml:space="preserve"> D4-(S4+T4+U4+V4)</f>
        <v>2.7506996889889948</v>
      </c>
    </row>
    <row r="5" spans="1:23" x14ac:dyDescent="0.25">
      <c r="A5" s="1">
        <v>11536</v>
      </c>
      <c r="B5" s="1" t="s">
        <v>32</v>
      </c>
      <c r="C5" s="1" t="s">
        <v>33</v>
      </c>
      <c r="D5" s="4">
        <v>21.718901000350002</v>
      </c>
      <c r="E5" s="75"/>
      <c r="F5" s="76"/>
      <c r="G5" s="75"/>
      <c r="H5" s="76"/>
      <c r="I5" s="74"/>
      <c r="J5" s="105"/>
      <c r="K5" s="157">
        <v>0</v>
      </c>
      <c r="L5" s="54">
        <v>0</v>
      </c>
      <c r="M5" s="115" t="s">
        <v>36</v>
      </c>
      <c r="N5" s="67">
        <v>21.7</v>
      </c>
      <c r="O5" s="130"/>
      <c r="P5" s="6">
        <v>0</v>
      </c>
      <c r="Q5" s="16">
        <f t="shared" si="0"/>
        <v>21.718901000350002</v>
      </c>
      <c r="R5" s="8">
        <v>16.562094321</v>
      </c>
      <c r="S5" s="13">
        <v>0</v>
      </c>
      <c r="T5" s="13">
        <v>0</v>
      </c>
      <c r="U5" s="13">
        <v>5.1573675371899999</v>
      </c>
      <c r="V5" s="45">
        <v>0</v>
      </c>
      <c r="W5" s="25">
        <f t="shared" si="1"/>
        <v>16.561533463160004</v>
      </c>
    </row>
    <row r="6" spans="1:23" x14ac:dyDescent="0.25">
      <c r="A6" s="1">
        <v>11537</v>
      </c>
      <c r="B6" s="1" t="s">
        <v>32</v>
      </c>
      <c r="C6" s="1" t="s">
        <v>33</v>
      </c>
      <c r="D6" s="4">
        <v>51.992831929079998</v>
      </c>
      <c r="E6" s="79" t="s">
        <v>34</v>
      </c>
      <c r="F6" s="74">
        <v>51.992831929090002</v>
      </c>
      <c r="G6" s="78"/>
      <c r="H6" s="77"/>
      <c r="I6" s="77"/>
      <c r="J6" s="109"/>
      <c r="K6" s="157">
        <v>0.653787117227</v>
      </c>
      <c r="L6" s="54">
        <v>22.133383035800001</v>
      </c>
      <c r="M6" s="115"/>
      <c r="N6" s="67"/>
      <c r="O6" s="130"/>
      <c r="P6" s="6">
        <v>51.992831929099999</v>
      </c>
      <c r="Q6" s="16">
        <f t="shared" si="0"/>
        <v>-2.000177801164682E-11</v>
      </c>
      <c r="R6" s="8">
        <v>0</v>
      </c>
      <c r="S6" s="13">
        <v>0</v>
      </c>
      <c r="T6" s="13">
        <v>49.047148604199997</v>
      </c>
      <c r="U6" s="13">
        <v>2.2803760668500002</v>
      </c>
      <c r="V6" s="45">
        <v>0.131857363773</v>
      </c>
      <c r="W6" s="25">
        <f t="shared" si="1"/>
        <v>0.53344989425699652</v>
      </c>
    </row>
    <row r="7" spans="1:23" x14ac:dyDescent="0.25">
      <c r="A7" s="1">
        <v>11538</v>
      </c>
      <c r="B7" s="1" t="s">
        <v>32</v>
      </c>
      <c r="C7" s="1" t="s">
        <v>33</v>
      </c>
      <c r="D7" s="4">
        <v>6.2959613157499996</v>
      </c>
      <c r="E7" s="79"/>
      <c r="F7" s="74"/>
      <c r="G7" s="78"/>
      <c r="H7" s="77"/>
      <c r="I7" s="77"/>
      <c r="J7" s="109"/>
      <c r="K7" s="157">
        <v>0</v>
      </c>
      <c r="L7" s="54">
        <v>0</v>
      </c>
      <c r="M7" s="115" t="s">
        <v>36</v>
      </c>
      <c r="N7" s="67">
        <v>6.3</v>
      </c>
      <c r="O7" s="173"/>
      <c r="P7" s="6">
        <v>0</v>
      </c>
      <c r="Q7" s="16">
        <f t="shared" si="0"/>
        <v>6.2959613157499996</v>
      </c>
      <c r="R7" s="8">
        <v>3.8882140835899999</v>
      </c>
      <c r="S7" s="13">
        <v>2.13376812526</v>
      </c>
      <c r="T7" s="13">
        <v>0.274228903129</v>
      </c>
      <c r="U7" s="13">
        <v>0</v>
      </c>
      <c r="V7" s="45">
        <v>0</v>
      </c>
      <c r="W7" s="25">
        <f t="shared" si="1"/>
        <v>3.8879642873609996</v>
      </c>
    </row>
    <row r="8" spans="1:23" x14ac:dyDescent="0.25">
      <c r="A8" s="1">
        <v>11539</v>
      </c>
      <c r="B8" s="1" t="s">
        <v>32</v>
      </c>
      <c r="C8" s="1" t="s">
        <v>33</v>
      </c>
      <c r="D8" s="4">
        <v>31.375669382680002</v>
      </c>
      <c r="E8" s="79" t="s">
        <v>34</v>
      </c>
      <c r="F8" s="74">
        <v>4.8545436870299996</v>
      </c>
      <c r="G8" s="78"/>
      <c r="H8" s="77"/>
      <c r="I8" s="77"/>
      <c r="J8" s="109"/>
      <c r="K8" s="157">
        <v>0</v>
      </c>
      <c r="L8" s="54">
        <v>0</v>
      </c>
      <c r="M8" s="115" t="s">
        <v>36</v>
      </c>
      <c r="N8" s="67">
        <v>26.5</v>
      </c>
      <c r="O8" s="173"/>
      <c r="P8" s="6">
        <v>4.8545444393999997</v>
      </c>
      <c r="Q8" s="16">
        <f>D8-P8</f>
        <v>26.52112494328</v>
      </c>
      <c r="R8" s="8">
        <v>0</v>
      </c>
      <c r="S8" s="13">
        <v>17.6916241429</v>
      </c>
      <c r="T8" s="13">
        <v>0</v>
      </c>
      <c r="U8" s="13">
        <v>13.6840452398</v>
      </c>
      <c r="V8" s="45">
        <v>0</v>
      </c>
      <c r="W8" s="25">
        <f t="shared" si="1"/>
        <v>-1.999822529796802E-11</v>
      </c>
    </row>
    <row r="9" spans="1:23" x14ac:dyDescent="0.25">
      <c r="A9" s="1">
        <v>11696</v>
      </c>
      <c r="B9" s="1" t="s">
        <v>32</v>
      </c>
      <c r="C9" s="1" t="s">
        <v>33</v>
      </c>
      <c r="D9" s="4">
        <v>17.589628872359999</v>
      </c>
      <c r="E9" s="79" t="s">
        <v>37</v>
      </c>
      <c r="F9" s="74">
        <v>17.589628872359999</v>
      </c>
      <c r="G9" s="78"/>
      <c r="H9" s="77"/>
      <c r="I9" s="77"/>
      <c r="J9" s="109"/>
      <c r="K9" s="157">
        <v>2.1712623598</v>
      </c>
      <c r="L9" s="54">
        <v>0</v>
      </c>
      <c r="M9" s="115"/>
      <c r="N9" s="67"/>
      <c r="O9" s="130"/>
      <c r="P9" s="6">
        <v>17.589628872399999</v>
      </c>
      <c r="Q9" s="16">
        <f t="shared" si="0"/>
        <v>-4.000000330961484E-11</v>
      </c>
      <c r="R9" s="8">
        <v>0</v>
      </c>
      <c r="S9" s="13">
        <v>0</v>
      </c>
      <c r="T9" s="13">
        <v>0</v>
      </c>
      <c r="U9" s="13">
        <v>0</v>
      </c>
      <c r="V9" s="45">
        <v>0</v>
      </c>
      <c r="W9" s="25">
        <f t="shared" si="1"/>
        <v>17.589628872359999</v>
      </c>
    </row>
    <row r="10" spans="1:23" x14ac:dyDescent="0.25">
      <c r="A10" s="1">
        <v>11893</v>
      </c>
      <c r="B10" s="1" t="s">
        <v>32</v>
      </c>
      <c r="C10" s="1" t="s">
        <v>38</v>
      </c>
      <c r="D10" s="4">
        <v>32.497278069369997</v>
      </c>
      <c r="E10" s="79" t="s">
        <v>39</v>
      </c>
      <c r="F10" s="74">
        <v>32.497278069369997</v>
      </c>
      <c r="G10" s="78"/>
      <c r="H10" s="77"/>
      <c r="I10" s="77"/>
      <c r="J10" s="109"/>
      <c r="K10" s="157">
        <v>0</v>
      </c>
      <c r="L10" s="54">
        <v>0</v>
      </c>
      <c r="M10" s="115"/>
      <c r="N10" s="67"/>
      <c r="O10" s="130"/>
      <c r="P10" s="6">
        <v>32.497278069399997</v>
      </c>
      <c r="Q10" s="16">
        <f t="shared" si="0"/>
        <v>-2.999911430379143E-11</v>
      </c>
      <c r="R10" s="8">
        <v>0</v>
      </c>
      <c r="S10" s="13">
        <v>26.331305774400001</v>
      </c>
      <c r="T10" s="13">
        <v>3.7373148030199999</v>
      </c>
      <c r="U10" s="13">
        <v>0</v>
      </c>
      <c r="V10" s="45">
        <v>0</v>
      </c>
      <c r="W10" s="25">
        <f t="shared" si="1"/>
        <v>2.4286574919499984</v>
      </c>
    </row>
    <row r="11" spans="1:23" x14ac:dyDescent="0.25">
      <c r="A11" s="1">
        <v>11894</v>
      </c>
      <c r="B11" s="1" t="s">
        <v>32</v>
      </c>
      <c r="C11" s="1" t="s">
        <v>38</v>
      </c>
      <c r="D11" s="4">
        <v>8.3025274741599997</v>
      </c>
      <c r="E11" s="79" t="s">
        <v>39</v>
      </c>
      <c r="F11" s="74">
        <v>8.3025274741599997</v>
      </c>
      <c r="G11" s="75"/>
      <c r="H11" s="76"/>
      <c r="I11" s="77"/>
      <c r="J11" s="109"/>
      <c r="K11" s="157">
        <v>0</v>
      </c>
      <c r="L11" s="54">
        <v>0</v>
      </c>
      <c r="M11" s="114"/>
      <c r="N11" s="66"/>
      <c r="O11" s="127"/>
      <c r="P11" s="6">
        <v>8.3025274741599997</v>
      </c>
      <c r="Q11" s="16">
        <f t="shared" si="0"/>
        <v>0</v>
      </c>
      <c r="R11" s="8">
        <v>1.78678218653</v>
      </c>
      <c r="S11" s="13">
        <v>0</v>
      </c>
      <c r="T11" s="13">
        <v>0</v>
      </c>
      <c r="U11" s="13">
        <v>0</v>
      </c>
      <c r="V11" s="45">
        <v>0</v>
      </c>
      <c r="W11" s="25">
        <f t="shared" si="1"/>
        <v>8.3025274741599997</v>
      </c>
    </row>
    <row r="12" spans="1:23" x14ac:dyDescent="0.25">
      <c r="A12" s="1">
        <v>11896</v>
      </c>
      <c r="B12" s="1" t="s">
        <v>32</v>
      </c>
      <c r="C12" s="1" t="s">
        <v>38</v>
      </c>
      <c r="D12" s="4">
        <v>96.782206705370001</v>
      </c>
      <c r="E12" s="75"/>
      <c r="F12" s="76"/>
      <c r="G12" s="75"/>
      <c r="H12" s="76"/>
      <c r="I12" s="74"/>
      <c r="J12" s="105"/>
      <c r="K12" s="157">
        <v>0</v>
      </c>
      <c r="L12" s="54">
        <v>0</v>
      </c>
      <c r="M12" s="115" t="s">
        <v>36</v>
      </c>
      <c r="N12" s="66">
        <v>96.8</v>
      </c>
      <c r="O12" s="127"/>
      <c r="P12" s="6">
        <v>0</v>
      </c>
      <c r="Q12" s="16">
        <f t="shared" si="0"/>
        <v>96.782206705370001</v>
      </c>
      <c r="R12" s="8">
        <v>0</v>
      </c>
      <c r="S12" s="13">
        <v>6.4448967864000002</v>
      </c>
      <c r="T12" s="13">
        <v>0</v>
      </c>
      <c r="U12" s="13">
        <v>74.669524779699998</v>
      </c>
      <c r="V12" s="45">
        <v>0</v>
      </c>
      <c r="W12" s="25">
        <f t="shared" si="1"/>
        <v>15.667785139270009</v>
      </c>
    </row>
    <row r="13" spans="1:23" x14ac:dyDescent="0.25">
      <c r="A13" s="1">
        <v>12062</v>
      </c>
      <c r="B13" s="1" t="s">
        <v>32</v>
      </c>
      <c r="C13" s="1" t="s">
        <v>40</v>
      </c>
      <c r="D13" s="4">
        <v>12.513422533589999</v>
      </c>
      <c r="E13" s="75"/>
      <c r="F13" s="76"/>
      <c r="G13" s="78"/>
      <c r="H13" s="77"/>
      <c r="I13" s="77"/>
      <c r="J13" s="109"/>
      <c r="K13" s="157">
        <v>0</v>
      </c>
      <c r="L13" s="54">
        <v>0</v>
      </c>
      <c r="M13" s="114"/>
      <c r="N13" s="66"/>
      <c r="O13" s="127">
        <v>12.5134225336</v>
      </c>
      <c r="P13" s="6">
        <v>0</v>
      </c>
      <c r="Q13" s="16">
        <f t="shared" si="0"/>
        <v>12.513422533589999</v>
      </c>
      <c r="R13" s="8">
        <v>0</v>
      </c>
      <c r="S13" s="13">
        <v>6.6004440391300001</v>
      </c>
      <c r="T13" s="13">
        <v>0</v>
      </c>
      <c r="U13" s="13">
        <v>5.8574744726699999</v>
      </c>
      <c r="V13" s="45">
        <v>0</v>
      </c>
      <c r="W13" s="25">
        <f t="shared" si="1"/>
        <v>5.5504021790000024E-2</v>
      </c>
    </row>
    <row r="14" spans="1:23" x14ac:dyDescent="0.25">
      <c r="A14" s="1">
        <v>12190</v>
      </c>
      <c r="B14" s="1" t="s">
        <v>32</v>
      </c>
      <c r="C14" s="1" t="s">
        <v>41</v>
      </c>
      <c r="D14" s="4">
        <v>36.32345216593</v>
      </c>
      <c r="E14" s="79" t="s">
        <v>42</v>
      </c>
      <c r="F14" s="74">
        <v>5.9922515002400001</v>
      </c>
      <c r="G14" s="79" t="s">
        <v>43</v>
      </c>
      <c r="H14" s="74">
        <v>30.33120129293</v>
      </c>
      <c r="I14" s="77"/>
      <c r="J14" s="109"/>
      <c r="K14" s="157">
        <v>18.4570014916</v>
      </c>
      <c r="L14" s="54">
        <v>0</v>
      </c>
      <c r="M14" s="114"/>
      <c r="N14" s="66"/>
      <c r="O14" s="127"/>
      <c r="P14" s="6">
        <v>36.323452165900001</v>
      </c>
      <c r="Q14" s="16">
        <f t="shared" si="0"/>
        <v>2.999911430379143E-11</v>
      </c>
      <c r="R14" s="8">
        <v>0</v>
      </c>
      <c r="S14" s="13">
        <v>0</v>
      </c>
      <c r="T14" s="13">
        <v>14.95460138</v>
      </c>
      <c r="U14" s="13">
        <v>5.68388430177</v>
      </c>
      <c r="V14" s="45">
        <v>0</v>
      </c>
      <c r="W14" s="25">
        <f t="shared" si="1"/>
        <v>15.68496648416</v>
      </c>
    </row>
    <row r="15" spans="1:23" x14ac:dyDescent="0.25">
      <c r="A15" s="1">
        <v>12191</v>
      </c>
      <c r="B15" s="1" t="s">
        <v>32</v>
      </c>
      <c r="C15" s="1" t="s">
        <v>41</v>
      </c>
      <c r="D15" s="4">
        <v>26.153064904899999</v>
      </c>
      <c r="E15" s="79" t="s">
        <v>42</v>
      </c>
      <c r="F15" s="74">
        <v>26.153064904899999</v>
      </c>
      <c r="G15" s="75"/>
      <c r="H15" s="76"/>
      <c r="I15" s="77"/>
      <c r="J15" s="109"/>
      <c r="K15" s="157">
        <v>17.641962726900001</v>
      </c>
      <c r="L15" s="54">
        <v>0</v>
      </c>
      <c r="M15" s="114"/>
      <c r="N15" s="66"/>
      <c r="O15" s="127"/>
      <c r="P15" s="6">
        <v>26.153064904899999</v>
      </c>
      <c r="Q15" s="16">
        <f t="shared" si="0"/>
        <v>0</v>
      </c>
      <c r="R15" s="8">
        <v>0</v>
      </c>
      <c r="S15" s="13">
        <v>0</v>
      </c>
      <c r="T15" s="13">
        <v>8.4860495707200005</v>
      </c>
      <c r="U15" s="13">
        <v>7.7670590535199997</v>
      </c>
      <c r="V15" s="45">
        <v>0</v>
      </c>
      <c r="W15" s="25">
        <f t="shared" si="1"/>
        <v>9.8999562806599997</v>
      </c>
    </row>
    <row r="16" spans="1:23" x14ac:dyDescent="0.25">
      <c r="A16" s="1">
        <v>12192</v>
      </c>
      <c r="B16" s="1" t="s">
        <v>32</v>
      </c>
      <c r="C16" s="1" t="s">
        <v>41</v>
      </c>
      <c r="D16" s="4">
        <v>9.5513258606299996</v>
      </c>
      <c r="E16" s="79" t="s">
        <v>44</v>
      </c>
      <c r="F16" s="74">
        <v>9.5513258606400004</v>
      </c>
      <c r="G16" s="78"/>
      <c r="H16" s="77"/>
      <c r="I16" s="77"/>
      <c r="J16" s="109"/>
      <c r="K16" s="157">
        <v>0</v>
      </c>
      <c r="L16" s="54">
        <v>9.5513258606400004</v>
      </c>
      <c r="M16" s="114"/>
      <c r="N16" s="66"/>
      <c r="O16" s="127"/>
      <c r="P16" s="6">
        <v>9.5513258606400004</v>
      </c>
      <c r="Q16" s="16">
        <f t="shared" si="0"/>
        <v>-1.000088900582341E-11</v>
      </c>
      <c r="R16" s="8">
        <v>0</v>
      </c>
      <c r="S16" s="13">
        <v>0</v>
      </c>
      <c r="T16" s="13">
        <v>8.4037900097999998</v>
      </c>
      <c r="U16" s="13">
        <v>0</v>
      </c>
      <c r="V16" s="45">
        <v>0</v>
      </c>
      <c r="W16" s="25">
        <f t="shared" si="1"/>
        <v>1.1475358508299998</v>
      </c>
    </row>
    <row r="17" spans="1:23" x14ac:dyDescent="0.25">
      <c r="A17" s="1">
        <v>12193</v>
      </c>
      <c r="B17" s="1" t="s">
        <v>32</v>
      </c>
      <c r="C17" s="1" t="s">
        <v>41</v>
      </c>
      <c r="D17" s="4">
        <v>43.529431106559997</v>
      </c>
      <c r="E17" s="79" t="s">
        <v>42</v>
      </c>
      <c r="F17" s="74">
        <v>35.316311686890003</v>
      </c>
      <c r="G17" s="75"/>
      <c r="H17" s="76"/>
      <c r="I17" s="77"/>
      <c r="J17" s="109"/>
      <c r="K17" s="157">
        <v>0</v>
      </c>
      <c r="L17" s="54">
        <v>9.4745197246699995</v>
      </c>
      <c r="M17" s="114"/>
      <c r="N17" s="66"/>
      <c r="O17" s="127">
        <v>8.2131194196500008</v>
      </c>
      <c r="P17" s="6">
        <v>35.316311686900001</v>
      </c>
      <c r="Q17" s="16">
        <f>D17-P17</f>
        <v>8.2131194196599964</v>
      </c>
      <c r="R17" s="8">
        <v>0</v>
      </c>
      <c r="S17" s="13">
        <v>0</v>
      </c>
      <c r="T17" s="13">
        <v>42.863529689099998</v>
      </c>
      <c r="U17" s="13">
        <v>0.66590141748300002</v>
      </c>
      <c r="V17" s="45">
        <v>0</v>
      </c>
      <c r="W17" s="25">
        <f t="shared" si="1"/>
        <v>-2.3000268356554443E-11</v>
      </c>
    </row>
    <row r="18" spans="1:23" x14ac:dyDescent="0.25">
      <c r="A18" s="1">
        <v>12194</v>
      </c>
      <c r="B18" s="1" t="s">
        <v>32</v>
      </c>
      <c r="C18" s="1" t="s">
        <v>41</v>
      </c>
      <c r="D18" s="4">
        <v>10.21220786462</v>
      </c>
      <c r="E18" s="79" t="s">
        <v>45</v>
      </c>
      <c r="F18" s="74">
        <v>0.83464293295000003</v>
      </c>
      <c r="G18" s="79" t="s">
        <v>46</v>
      </c>
      <c r="H18" s="74">
        <v>9.3775265256400004</v>
      </c>
      <c r="I18" s="79"/>
      <c r="J18" s="105"/>
      <c r="K18" s="157">
        <v>0</v>
      </c>
      <c r="L18" s="54">
        <v>0</v>
      </c>
      <c r="M18" s="114"/>
      <c r="N18" s="66"/>
      <c r="O18" s="127">
        <v>0.8</v>
      </c>
      <c r="P18" s="6">
        <v>8.8831777498900006</v>
      </c>
      <c r="Q18" s="16">
        <f t="shared" si="0"/>
        <v>1.3290301147299992</v>
      </c>
      <c r="R18" s="8">
        <v>0</v>
      </c>
      <c r="S18" s="13">
        <v>0</v>
      </c>
      <c r="T18" s="13">
        <v>0</v>
      </c>
      <c r="U18" s="13">
        <v>0</v>
      </c>
      <c r="V18" s="45">
        <v>0</v>
      </c>
      <c r="W18" s="25">
        <f t="shared" si="1"/>
        <v>10.21220786462</v>
      </c>
    </row>
    <row r="19" spans="1:23" x14ac:dyDescent="0.25">
      <c r="A19" s="1">
        <v>12195</v>
      </c>
      <c r="B19" s="1" t="s">
        <v>32</v>
      </c>
      <c r="C19" s="1" t="s">
        <v>41</v>
      </c>
      <c r="D19" s="4">
        <v>8.4442514291999995</v>
      </c>
      <c r="E19" s="79" t="s">
        <v>34</v>
      </c>
      <c r="F19" s="74">
        <v>0.56297247557999996</v>
      </c>
      <c r="G19" s="79" t="s">
        <v>46</v>
      </c>
      <c r="H19" s="74">
        <v>7.8812788185000002</v>
      </c>
      <c r="I19" s="74"/>
      <c r="J19" s="105"/>
      <c r="K19" s="157">
        <v>0</v>
      </c>
      <c r="L19" s="54">
        <v>0</v>
      </c>
      <c r="M19" s="114"/>
      <c r="N19" s="66"/>
      <c r="O19" s="173"/>
      <c r="P19" s="6">
        <v>8.4442514292100004</v>
      </c>
      <c r="Q19" s="16">
        <f t="shared" si="0"/>
        <v>-1.000088900582341E-11</v>
      </c>
      <c r="R19" s="8">
        <v>0</v>
      </c>
      <c r="S19" s="13">
        <v>0</v>
      </c>
      <c r="T19" s="13">
        <v>0</v>
      </c>
      <c r="U19" s="13">
        <v>0.56161267233099998</v>
      </c>
      <c r="V19" s="45">
        <v>0</v>
      </c>
      <c r="W19" s="25">
        <f t="shared" si="1"/>
        <v>7.8826387568689995</v>
      </c>
    </row>
    <row r="20" spans="1:23" x14ac:dyDescent="0.25">
      <c r="A20" s="1">
        <v>12196</v>
      </c>
      <c r="B20" s="1" t="s">
        <v>32</v>
      </c>
      <c r="C20" s="1" t="s">
        <v>41</v>
      </c>
      <c r="D20" s="4">
        <v>69.381930080779995</v>
      </c>
      <c r="E20" s="79" t="s">
        <v>34</v>
      </c>
      <c r="F20" s="74">
        <v>16.92906640224</v>
      </c>
      <c r="G20" s="79" t="s">
        <v>42</v>
      </c>
      <c r="H20" s="74">
        <v>52.452863678550003</v>
      </c>
      <c r="I20" s="77"/>
      <c r="J20" s="109"/>
      <c r="K20" s="157">
        <v>0</v>
      </c>
      <c r="L20" s="54">
        <v>0</v>
      </c>
      <c r="M20" s="114"/>
      <c r="N20" s="66"/>
      <c r="O20" s="127"/>
      <c r="P20" s="6">
        <v>69.381930080800004</v>
      </c>
      <c r="Q20" s="16">
        <f t="shared" si="0"/>
        <v>-2.0008883439004421E-11</v>
      </c>
      <c r="R20" s="8">
        <v>0</v>
      </c>
      <c r="S20" s="13">
        <v>69.381930080800004</v>
      </c>
      <c r="T20" s="13">
        <v>0</v>
      </c>
      <c r="U20" s="13">
        <v>0</v>
      </c>
      <c r="V20" s="45">
        <v>0</v>
      </c>
      <c r="W20" s="25">
        <f t="shared" si="1"/>
        <v>-2.0008883439004421E-11</v>
      </c>
    </row>
    <row r="21" spans="1:23" x14ac:dyDescent="0.25">
      <c r="A21" s="1">
        <v>12197</v>
      </c>
      <c r="B21" s="1" t="s">
        <v>32</v>
      </c>
      <c r="C21" s="1" t="s">
        <v>41</v>
      </c>
      <c r="D21" s="4">
        <v>33.665927111419997</v>
      </c>
      <c r="E21" s="79" t="s">
        <v>42</v>
      </c>
      <c r="F21" s="74">
        <v>28.872865868809999</v>
      </c>
      <c r="G21" s="79" t="s">
        <v>47</v>
      </c>
      <c r="H21" s="74">
        <v>4.7930612426200003</v>
      </c>
      <c r="I21" s="74"/>
      <c r="J21" s="105"/>
      <c r="K21" s="157">
        <v>7.2367213942599999</v>
      </c>
      <c r="L21" s="54">
        <v>0</v>
      </c>
      <c r="M21" s="114"/>
      <c r="N21" s="66"/>
      <c r="O21" s="127"/>
      <c r="P21" s="6">
        <v>33.665927111400002</v>
      </c>
      <c r="Q21" s="16">
        <f t="shared" si="0"/>
        <v>1.9994672584289219E-11</v>
      </c>
      <c r="R21" s="8">
        <v>0</v>
      </c>
      <c r="S21" s="13">
        <v>8.7599007853300002</v>
      </c>
      <c r="T21" s="13">
        <v>8.3987651230499996</v>
      </c>
      <c r="U21" s="13">
        <v>0</v>
      </c>
      <c r="V21" s="45">
        <v>2.6386251085999999</v>
      </c>
      <c r="W21" s="25">
        <f t="shared" si="1"/>
        <v>13.868636094439996</v>
      </c>
    </row>
    <row r="22" spans="1:23" x14ac:dyDescent="0.25">
      <c r="A22" s="1">
        <v>12198</v>
      </c>
      <c r="B22" s="1" t="s">
        <v>32</v>
      </c>
      <c r="C22" s="1" t="s">
        <v>41</v>
      </c>
      <c r="D22" s="4">
        <v>19.128589560119998</v>
      </c>
      <c r="E22" s="79" t="s">
        <v>48</v>
      </c>
      <c r="F22" s="74">
        <v>19.128589560129999</v>
      </c>
      <c r="G22" s="79"/>
      <c r="H22" s="74"/>
      <c r="I22" s="77"/>
      <c r="J22" s="109"/>
      <c r="K22" s="157">
        <v>0</v>
      </c>
      <c r="L22" s="54">
        <v>0</v>
      </c>
      <c r="M22" s="114"/>
      <c r="N22" s="66"/>
      <c r="O22" s="127"/>
      <c r="P22" s="6">
        <v>19.1285895601</v>
      </c>
      <c r="Q22" s="16">
        <f t="shared" si="0"/>
        <v>1.999822529796802E-11</v>
      </c>
      <c r="R22" s="8">
        <v>0</v>
      </c>
      <c r="S22" s="13">
        <v>18.616384481800001</v>
      </c>
      <c r="T22" s="13">
        <v>0.51220507835999995</v>
      </c>
      <c r="U22" s="13">
        <v>0</v>
      </c>
      <c r="V22" s="45">
        <v>0</v>
      </c>
      <c r="W22" s="25">
        <f t="shared" si="1"/>
        <v>-4.000355602329364E-11</v>
      </c>
    </row>
    <row r="23" spans="1:23" x14ac:dyDescent="0.25">
      <c r="A23" s="1">
        <v>12199</v>
      </c>
      <c r="B23" s="1" t="s">
        <v>32</v>
      </c>
      <c r="C23" s="1" t="s">
        <v>41</v>
      </c>
      <c r="D23" s="4">
        <v>31.191523666510001</v>
      </c>
      <c r="E23" s="79" t="s">
        <v>42</v>
      </c>
      <c r="F23" s="74">
        <v>0.67752340649999998</v>
      </c>
      <c r="G23" s="78"/>
      <c r="H23" s="77"/>
      <c r="I23" s="77"/>
      <c r="J23" s="109"/>
      <c r="K23" s="157">
        <v>0</v>
      </c>
      <c r="L23" s="54">
        <v>0</v>
      </c>
      <c r="M23" s="114" t="s">
        <v>49</v>
      </c>
      <c r="N23" s="66">
        <v>30.5</v>
      </c>
      <c r="O23" s="127"/>
      <c r="P23" s="6">
        <v>0.676157109604</v>
      </c>
      <c r="Q23" s="16">
        <f t="shared" si="0"/>
        <v>30.515366556906002</v>
      </c>
      <c r="R23" s="8">
        <v>0</v>
      </c>
      <c r="S23" s="13">
        <v>0.53335963731299996</v>
      </c>
      <c r="T23" s="13">
        <v>0</v>
      </c>
      <c r="U23" s="13">
        <v>17.580203380299999</v>
      </c>
      <c r="V23" s="45">
        <v>0</v>
      </c>
      <c r="W23" s="25">
        <f t="shared" si="1"/>
        <v>13.077960648897001</v>
      </c>
    </row>
    <row r="24" spans="1:23" x14ac:dyDescent="0.25">
      <c r="A24" s="1">
        <v>12201</v>
      </c>
      <c r="B24" s="1" t="s">
        <v>32</v>
      </c>
      <c r="C24" s="1" t="s">
        <v>41</v>
      </c>
      <c r="D24" s="4">
        <v>40.918695641489997</v>
      </c>
      <c r="E24" s="79" t="s">
        <v>37</v>
      </c>
      <c r="F24" s="74">
        <v>33.81603615009</v>
      </c>
      <c r="G24" s="79" t="s">
        <v>39</v>
      </c>
      <c r="H24" s="74">
        <v>7.1026594914099999</v>
      </c>
      <c r="I24" s="77"/>
      <c r="J24" s="109"/>
      <c r="K24" s="157">
        <v>19.6678676483</v>
      </c>
      <c r="L24" s="54">
        <v>4.9000000000000004</v>
      </c>
      <c r="M24" s="114"/>
      <c r="N24" s="66"/>
      <c r="O24" s="127"/>
      <c r="P24" s="6">
        <v>40.918695641500001</v>
      </c>
      <c r="Q24" s="16">
        <f t="shared" si="0"/>
        <v>-1.0004441719502211E-11</v>
      </c>
      <c r="R24" s="8">
        <v>0</v>
      </c>
      <c r="S24" s="13">
        <v>9.9270070366700001</v>
      </c>
      <c r="T24" s="13">
        <v>3.4822934733699999</v>
      </c>
      <c r="U24" s="13">
        <v>13.481298148500001</v>
      </c>
      <c r="V24" s="45">
        <v>4.4594826230400004</v>
      </c>
      <c r="W24" s="25">
        <f t="shared" si="1"/>
        <v>9.5686143599099971</v>
      </c>
    </row>
    <row r="25" spans="1:23" x14ac:dyDescent="0.25">
      <c r="A25" s="1">
        <v>12204</v>
      </c>
      <c r="B25" s="1" t="s">
        <v>32</v>
      </c>
      <c r="C25" s="1" t="s">
        <v>41</v>
      </c>
      <c r="D25" s="4">
        <v>26.845237367479999</v>
      </c>
      <c r="E25" s="75"/>
      <c r="F25" s="76"/>
      <c r="G25" s="78"/>
      <c r="H25" s="77"/>
      <c r="I25" s="77"/>
      <c r="J25" s="109"/>
      <c r="K25" s="157">
        <v>0</v>
      </c>
      <c r="L25" s="54">
        <v>0</v>
      </c>
      <c r="M25" s="114" t="s">
        <v>50</v>
      </c>
      <c r="N25" s="66">
        <v>26.8</v>
      </c>
      <c r="O25" s="127"/>
      <c r="P25" s="6">
        <v>0</v>
      </c>
      <c r="Q25" s="16">
        <f t="shared" si="0"/>
        <v>26.845237367479999</v>
      </c>
      <c r="R25" s="8">
        <v>0</v>
      </c>
      <c r="S25" s="13">
        <v>22.982001150599999</v>
      </c>
      <c r="T25" s="13">
        <v>3.3865797549300001</v>
      </c>
      <c r="U25" s="13">
        <v>0</v>
      </c>
      <c r="V25" s="45">
        <v>0</v>
      </c>
      <c r="W25" s="25">
        <f t="shared" si="1"/>
        <v>0.47665646195000022</v>
      </c>
    </row>
    <row r="26" spans="1:23" x14ac:dyDescent="0.25">
      <c r="A26" s="1">
        <v>12208</v>
      </c>
      <c r="B26" s="1" t="s">
        <v>32</v>
      </c>
      <c r="C26" s="1" t="s">
        <v>41</v>
      </c>
      <c r="D26" s="4">
        <v>21.47207905366</v>
      </c>
      <c r="E26" s="79" t="s">
        <v>34</v>
      </c>
      <c r="F26" s="74">
        <v>21.47207905366</v>
      </c>
      <c r="G26" s="78"/>
      <c r="H26" s="77"/>
      <c r="I26" s="77"/>
      <c r="J26" s="109"/>
      <c r="K26" s="157">
        <v>7.8500429410699999</v>
      </c>
      <c r="L26" s="54">
        <v>0</v>
      </c>
      <c r="M26" s="114"/>
      <c r="N26" s="66"/>
      <c r="O26" s="127"/>
      <c r="P26" s="6">
        <v>20.4617111845</v>
      </c>
      <c r="Q26" s="16">
        <f t="shared" si="0"/>
        <v>1.0103678691599995</v>
      </c>
      <c r="R26" s="8">
        <v>0</v>
      </c>
      <c r="S26" s="13">
        <v>7.0456875878799998</v>
      </c>
      <c r="T26" s="13">
        <v>6.0465477988699998</v>
      </c>
      <c r="U26" s="13">
        <v>0.36806136374699999</v>
      </c>
      <c r="V26" s="45">
        <v>8.0117823031699995</v>
      </c>
      <c r="W26" s="25">
        <f t="shared" si="1"/>
        <v>-6.9988459472369868E-12</v>
      </c>
    </row>
    <row r="27" spans="1:23" x14ac:dyDescent="0.25">
      <c r="A27" s="1">
        <v>12210</v>
      </c>
      <c r="B27" s="1" t="s">
        <v>32</v>
      </c>
      <c r="C27" s="1" t="s">
        <v>41</v>
      </c>
      <c r="D27" s="4">
        <v>16.097662537430001</v>
      </c>
      <c r="E27" s="75"/>
      <c r="F27" s="76"/>
      <c r="G27" s="78"/>
      <c r="H27" s="77"/>
      <c r="I27" s="77"/>
      <c r="J27" s="109"/>
      <c r="K27" s="157">
        <v>0</v>
      </c>
      <c r="L27" s="54">
        <v>0</v>
      </c>
      <c r="M27" s="115" t="s">
        <v>36</v>
      </c>
      <c r="N27" s="66">
        <v>16.100000000000001</v>
      </c>
      <c r="O27" s="127"/>
      <c r="P27" s="6">
        <v>0</v>
      </c>
      <c r="Q27" s="16">
        <f t="shared" si="0"/>
        <v>16.097662537430001</v>
      </c>
      <c r="R27" s="8">
        <v>16.097662537400002</v>
      </c>
      <c r="S27" s="13">
        <v>0</v>
      </c>
      <c r="T27" s="13">
        <v>0</v>
      </c>
      <c r="U27" s="13">
        <v>0</v>
      </c>
      <c r="V27" s="45">
        <v>0</v>
      </c>
      <c r="W27" s="25">
        <f t="shared" si="1"/>
        <v>16.097662537430001</v>
      </c>
    </row>
    <row r="28" spans="1:23" x14ac:dyDescent="0.25">
      <c r="A28" s="1">
        <v>12211</v>
      </c>
      <c r="B28" s="1" t="s">
        <v>32</v>
      </c>
      <c r="C28" s="1" t="s">
        <v>41</v>
      </c>
      <c r="D28" s="4">
        <v>49.505503280390002</v>
      </c>
      <c r="E28" s="79" t="s">
        <v>34</v>
      </c>
      <c r="F28" s="74">
        <v>49.505503280390002</v>
      </c>
      <c r="G28" s="78"/>
      <c r="H28" s="77"/>
      <c r="I28" s="77"/>
      <c r="J28" s="109"/>
      <c r="K28" s="157">
        <v>0</v>
      </c>
      <c r="L28" s="54">
        <v>0</v>
      </c>
      <c r="M28" s="114"/>
      <c r="N28" s="66"/>
      <c r="O28" s="127"/>
      <c r="P28" s="6">
        <v>49.505503280399999</v>
      </c>
      <c r="Q28" s="16">
        <f t="shared" si="0"/>
        <v>-9.9973362921446096E-12</v>
      </c>
      <c r="R28" s="8">
        <v>0</v>
      </c>
      <c r="S28" s="13">
        <v>44.664976273999997</v>
      </c>
      <c r="T28" s="13">
        <v>4.8405270063500003</v>
      </c>
      <c r="U28" s="13">
        <v>0</v>
      </c>
      <c r="V28" s="45">
        <v>0</v>
      </c>
      <c r="W28" s="25">
        <f t="shared" si="1"/>
        <v>4.000355602329364E-11</v>
      </c>
    </row>
    <row r="29" spans="1:23" x14ac:dyDescent="0.25">
      <c r="A29" s="1">
        <v>12213</v>
      </c>
      <c r="B29" s="1" t="s">
        <v>32</v>
      </c>
      <c r="C29" s="1" t="s">
        <v>41</v>
      </c>
      <c r="D29" s="4">
        <v>27.273248570780002</v>
      </c>
      <c r="E29" s="79" t="s">
        <v>34</v>
      </c>
      <c r="F29" s="74">
        <v>27.273248570780002</v>
      </c>
      <c r="G29" s="75"/>
      <c r="H29" s="76"/>
      <c r="I29" s="77"/>
      <c r="J29" s="109"/>
      <c r="K29" s="157">
        <v>0</v>
      </c>
      <c r="L29" s="54">
        <v>0</v>
      </c>
      <c r="M29" s="114"/>
      <c r="N29" s="66"/>
      <c r="O29" s="127"/>
      <c r="P29" s="6">
        <v>27.2732485708</v>
      </c>
      <c r="Q29" s="16">
        <f t="shared" si="0"/>
        <v>-1.999822529796802E-11</v>
      </c>
      <c r="R29" s="8">
        <v>0</v>
      </c>
      <c r="S29" s="13">
        <v>2.0564093590499999</v>
      </c>
      <c r="T29" s="13">
        <v>25.166804642999999</v>
      </c>
      <c r="U29" s="13">
        <v>5.0034568714599999E-2</v>
      </c>
      <c r="V29" s="45">
        <v>0</v>
      </c>
      <c r="W29" s="25">
        <f t="shared" si="1"/>
        <v>1.5401013797600172E-11</v>
      </c>
    </row>
    <row r="30" spans="1:23" x14ac:dyDescent="0.25">
      <c r="A30" s="1">
        <v>12214</v>
      </c>
      <c r="B30" s="1" t="s">
        <v>32</v>
      </c>
      <c r="C30" s="1" t="s">
        <v>41</v>
      </c>
      <c r="D30" s="4">
        <v>19.629416119790001</v>
      </c>
      <c r="E30" s="79" t="s">
        <v>34</v>
      </c>
      <c r="F30" s="74">
        <v>19.629416119790001</v>
      </c>
      <c r="I30" s="77"/>
      <c r="J30" s="109"/>
      <c r="K30" s="157">
        <v>0</v>
      </c>
      <c r="L30" s="54">
        <v>0</v>
      </c>
      <c r="M30" s="114"/>
      <c r="N30" s="66"/>
      <c r="O30" s="127"/>
      <c r="P30" s="6">
        <v>19.629416119799998</v>
      </c>
      <c r="Q30" s="16">
        <f t="shared" si="0"/>
        <v>-9.9973362921446096E-12</v>
      </c>
      <c r="R30" s="8">
        <v>0</v>
      </c>
      <c r="S30" s="13">
        <v>0</v>
      </c>
      <c r="T30" s="13">
        <v>0.26611826445699999</v>
      </c>
      <c r="U30" s="13">
        <v>4.7966615141600002</v>
      </c>
      <c r="V30" s="45">
        <v>0</v>
      </c>
      <c r="W30" s="25">
        <f t="shared" si="1"/>
        <v>14.566636341173002</v>
      </c>
    </row>
    <row r="31" spans="1:23" x14ac:dyDescent="0.25">
      <c r="A31" s="1">
        <v>12216</v>
      </c>
      <c r="B31" s="1" t="s">
        <v>32</v>
      </c>
      <c r="C31" s="1" t="s">
        <v>41</v>
      </c>
      <c r="D31" s="4">
        <v>17.865637121279999</v>
      </c>
      <c r="E31" s="75"/>
      <c r="F31" s="76"/>
      <c r="G31" s="75"/>
      <c r="H31" s="76"/>
      <c r="I31" s="77"/>
      <c r="J31" s="109"/>
      <c r="K31" s="157">
        <v>0</v>
      </c>
      <c r="L31" s="54">
        <v>0</v>
      </c>
      <c r="M31" s="115" t="s">
        <v>36</v>
      </c>
      <c r="N31" s="66">
        <v>17.899999999999999</v>
      </c>
      <c r="O31" s="127"/>
      <c r="P31" s="6">
        <v>0</v>
      </c>
      <c r="Q31" s="16">
        <f t="shared" si="0"/>
        <v>17.865637121279999</v>
      </c>
      <c r="R31" s="8">
        <v>0</v>
      </c>
      <c r="S31" s="13">
        <v>10.701722334799999</v>
      </c>
      <c r="T31" s="13">
        <v>0</v>
      </c>
      <c r="U31" s="13">
        <v>7.0307935023499999</v>
      </c>
      <c r="V31" s="45">
        <v>0</v>
      </c>
      <c r="W31" s="25">
        <f t="shared" si="1"/>
        <v>0.13312128412999868</v>
      </c>
    </row>
    <row r="32" spans="1:23" x14ac:dyDescent="0.25">
      <c r="A32" s="1">
        <v>12218</v>
      </c>
      <c r="B32" s="1" t="s">
        <v>32</v>
      </c>
      <c r="C32" s="1" t="s">
        <v>41</v>
      </c>
      <c r="D32" s="4">
        <v>32.467934657960001</v>
      </c>
      <c r="E32" s="75"/>
      <c r="F32" s="76"/>
      <c r="G32" s="78"/>
      <c r="H32" s="77"/>
      <c r="I32" s="77"/>
      <c r="J32" s="109"/>
      <c r="K32" s="157">
        <v>0</v>
      </c>
      <c r="L32" s="54">
        <v>0</v>
      </c>
      <c r="M32" s="115" t="s">
        <v>36</v>
      </c>
      <c r="N32" s="66">
        <v>32.5</v>
      </c>
      <c r="O32" s="127"/>
      <c r="P32" s="6">
        <v>0</v>
      </c>
      <c r="Q32" s="16">
        <f t="shared" si="0"/>
        <v>32.467934657960001</v>
      </c>
      <c r="R32" s="8">
        <v>0</v>
      </c>
      <c r="S32" s="13">
        <v>24.132827115200001</v>
      </c>
      <c r="T32" s="13">
        <v>3.6807272592500002</v>
      </c>
      <c r="U32" s="13">
        <v>0</v>
      </c>
      <c r="V32" s="45">
        <v>0</v>
      </c>
      <c r="W32" s="25">
        <f t="shared" si="1"/>
        <v>4.654380283510001</v>
      </c>
    </row>
    <row r="33" spans="1:24" x14ac:dyDescent="0.25">
      <c r="A33" s="1">
        <v>12219</v>
      </c>
      <c r="B33" s="1" t="s">
        <v>32</v>
      </c>
      <c r="C33" s="1" t="s">
        <v>41</v>
      </c>
      <c r="D33" s="4">
        <v>71.767884329829997</v>
      </c>
      <c r="E33" s="75"/>
      <c r="F33" s="76"/>
      <c r="G33" s="78"/>
      <c r="H33" s="77"/>
      <c r="I33" s="77"/>
      <c r="J33" s="109"/>
      <c r="K33" s="157">
        <v>0</v>
      </c>
      <c r="L33" s="54">
        <v>0</v>
      </c>
      <c r="M33" s="115" t="s">
        <v>36</v>
      </c>
      <c r="N33" s="66">
        <v>71.8</v>
      </c>
      <c r="O33" s="127"/>
      <c r="P33" s="6">
        <v>0</v>
      </c>
      <c r="Q33" s="16">
        <f t="shared" si="0"/>
        <v>71.767884329829997</v>
      </c>
      <c r="R33" s="8">
        <v>1.3035463798099999E-3</v>
      </c>
      <c r="S33" s="13">
        <v>9.2925783337999999</v>
      </c>
      <c r="T33" s="13">
        <v>62.474011628200003</v>
      </c>
      <c r="U33" s="13">
        <v>0</v>
      </c>
      <c r="V33" s="45">
        <v>0</v>
      </c>
      <c r="W33" s="25">
        <f t="shared" si="1"/>
        <v>1.2943678299990324E-3</v>
      </c>
    </row>
    <row r="34" spans="1:24" x14ac:dyDescent="0.25">
      <c r="A34" s="1">
        <v>12220</v>
      </c>
      <c r="B34" s="1" t="s">
        <v>32</v>
      </c>
      <c r="C34" s="1" t="s">
        <v>41</v>
      </c>
      <c r="D34" s="4">
        <v>32.551360467770003</v>
      </c>
      <c r="E34" s="75"/>
      <c r="F34" s="76"/>
      <c r="G34" s="78"/>
      <c r="H34" s="77"/>
      <c r="I34" s="77"/>
      <c r="J34" s="109"/>
      <c r="K34" s="157">
        <v>0</v>
      </c>
      <c r="L34" s="54">
        <v>0</v>
      </c>
      <c r="M34" s="115" t="s">
        <v>36</v>
      </c>
      <c r="N34" s="66">
        <v>32.6</v>
      </c>
      <c r="O34" s="127"/>
      <c r="P34" s="6">
        <v>0</v>
      </c>
      <c r="Q34" s="16">
        <f t="shared" si="0"/>
        <v>32.551360467770003</v>
      </c>
      <c r="R34" s="8">
        <v>0</v>
      </c>
      <c r="S34" s="13">
        <v>25.221565634099999</v>
      </c>
      <c r="T34" s="13">
        <v>0</v>
      </c>
      <c r="U34" s="13">
        <v>0</v>
      </c>
      <c r="V34" s="45">
        <v>0</v>
      </c>
      <c r="W34" s="25">
        <f t="shared" si="1"/>
        <v>7.3297948336700038</v>
      </c>
    </row>
    <row r="35" spans="1:24" x14ac:dyDescent="0.25">
      <c r="A35" s="1">
        <v>12221</v>
      </c>
      <c r="B35" s="1" t="s">
        <v>32</v>
      </c>
      <c r="C35" s="1" t="s">
        <v>41</v>
      </c>
      <c r="D35" s="4">
        <v>99.723634239790002</v>
      </c>
      <c r="E35" s="75"/>
      <c r="F35" s="76"/>
      <c r="G35" s="78"/>
      <c r="H35" s="77"/>
      <c r="I35" s="77"/>
      <c r="J35" s="109"/>
      <c r="K35" s="157">
        <v>0</v>
      </c>
      <c r="L35" s="54">
        <v>0</v>
      </c>
      <c r="M35" s="115" t="s">
        <v>36</v>
      </c>
      <c r="N35" s="67">
        <v>99.7</v>
      </c>
      <c r="O35" s="173"/>
      <c r="P35" s="6">
        <v>0</v>
      </c>
      <c r="Q35" s="16">
        <f t="shared" si="0"/>
        <v>99.723634239790002</v>
      </c>
      <c r="R35" s="8">
        <v>31.475135489199999</v>
      </c>
      <c r="S35" s="13">
        <v>11.0263143262</v>
      </c>
      <c r="T35" s="13">
        <v>14.7175321641</v>
      </c>
      <c r="U35" s="13">
        <v>1.5629354385200001</v>
      </c>
      <c r="V35" s="45">
        <v>0</v>
      </c>
      <c r="W35" s="25">
        <f t="shared" si="1"/>
        <v>72.41685231097</v>
      </c>
    </row>
    <row r="36" spans="1:24" x14ac:dyDescent="0.25">
      <c r="A36" s="1">
        <v>12222</v>
      </c>
      <c r="B36" s="1" t="s">
        <v>32</v>
      </c>
      <c r="C36" s="1" t="s">
        <v>41</v>
      </c>
      <c r="D36" s="4">
        <v>69.572106546300006</v>
      </c>
      <c r="E36" s="75"/>
      <c r="F36" s="76"/>
      <c r="G36" s="75"/>
      <c r="H36" s="76"/>
      <c r="I36" s="77"/>
      <c r="J36" s="109"/>
      <c r="K36" s="157">
        <v>0</v>
      </c>
      <c r="L36" s="54">
        <v>0</v>
      </c>
      <c r="M36" s="115" t="s">
        <v>36</v>
      </c>
      <c r="N36" s="67">
        <v>69.599999999999994</v>
      </c>
      <c r="O36" s="130"/>
      <c r="P36" s="6">
        <v>0</v>
      </c>
      <c r="Q36" s="16">
        <f t="shared" si="0"/>
        <v>69.572106546300006</v>
      </c>
      <c r="R36" s="8">
        <v>0</v>
      </c>
      <c r="S36" s="13">
        <v>59.073986841100002</v>
      </c>
      <c r="T36" s="13">
        <v>0</v>
      </c>
      <c r="U36" s="13">
        <v>2.6299125590600001</v>
      </c>
      <c r="V36" s="45">
        <v>0</v>
      </c>
      <c r="W36" s="25">
        <f t="shared" si="1"/>
        <v>7.8682071461400014</v>
      </c>
    </row>
    <row r="37" spans="1:24" x14ac:dyDescent="0.25">
      <c r="A37" s="1">
        <v>12223</v>
      </c>
      <c r="B37" s="1" t="s">
        <v>32</v>
      </c>
      <c r="C37" s="1" t="s">
        <v>41</v>
      </c>
      <c r="D37" s="4">
        <v>29.177325097760001</v>
      </c>
      <c r="E37" s="79"/>
      <c r="F37" s="74"/>
      <c r="G37" s="78"/>
      <c r="H37" s="77"/>
      <c r="I37" s="77"/>
      <c r="J37" s="109"/>
      <c r="K37" s="157">
        <v>0</v>
      </c>
      <c r="L37" s="54">
        <v>0</v>
      </c>
      <c r="M37" s="115" t="s">
        <v>36</v>
      </c>
      <c r="N37" s="65">
        <v>29.2</v>
      </c>
      <c r="O37" s="173"/>
      <c r="P37" s="6">
        <v>0</v>
      </c>
      <c r="Q37" s="16">
        <f t="shared" si="0"/>
        <v>29.177325097760001</v>
      </c>
      <c r="R37" s="8">
        <v>7.9864921519700003</v>
      </c>
      <c r="S37" s="13">
        <v>1.345059054</v>
      </c>
      <c r="T37" s="13">
        <v>0</v>
      </c>
      <c r="U37" s="13">
        <v>14.291162655600001</v>
      </c>
      <c r="V37" s="45">
        <v>0</v>
      </c>
      <c r="W37" s="25">
        <f t="shared" si="1"/>
        <v>13.54110338816</v>
      </c>
    </row>
    <row r="38" spans="1:24" x14ac:dyDescent="0.25">
      <c r="A38" s="1">
        <v>12414</v>
      </c>
      <c r="B38" s="1" t="s">
        <v>32</v>
      </c>
      <c r="C38" s="1" t="s">
        <v>41</v>
      </c>
      <c r="D38" s="7">
        <v>26.283228471969998</v>
      </c>
      <c r="E38" s="79" t="s">
        <v>34</v>
      </c>
      <c r="F38" s="74">
        <v>26.283228471969998</v>
      </c>
      <c r="I38" s="77"/>
      <c r="J38" s="77"/>
      <c r="K38" s="157">
        <v>0</v>
      </c>
      <c r="L38" s="54">
        <v>0</v>
      </c>
      <c r="M38" s="62"/>
      <c r="N38" s="168"/>
      <c r="O38" s="60"/>
      <c r="P38" s="6">
        <v>26.283228472000001</v>
      </c>
      <c r="Q38" s="12">
        <f t="shared" si="0"/>
        <v>-3.000266701747023E-11</v>
      </c>
      <c r="R38" s="31">
        <v>0</v>
      </c>
      <c r="S38" s="13">
        <v>15.805265431800001</v>
      </c>
      <c r="T38" s="13">
        <v>10.477963040200001</v>
      </c>
      <c r="U38" s="13">
        <v>0</v>
      </c>
      <c r="V38" s="45">
        <v>0</v>
      </c>
      <c r="W38" s="25">
        <f t="shared" si="1"/>
        <v>-3.000266701747023E-11</v>
      </c>
    </row>
    <row r="39" spans="1:24" x14ac:dyDescent="0.25">
      <c r="A39" s="1">
        <v>12415</v>
      </c>
      <c r="B39" s="1" t="s">
        <v>32</v>
      </c>
      <c r="C39" s="1" t="s">
        <v>41</v>
      </c>
      <c r="D39" s="7">
        <v>42.9</v>
      </c>
      <c r="E39" s="79" t="s">
        <v>51</v>
      </c>
      <c r="F39" s="74">
        <v>42.9</v>
      </c>
      <c r="G39" s="78"/>
      <c r="H39" s="77"/>
      <c r="I39" s="77"/>
      <c r="J39" s="77"/>
      <c r="K39" s="157">
        <v>0</v>
      </c>
      <c r="L39" s="54">
        <v>0</v>
      </c>
      <c r="M39" s="62"/>
      <c r="N39" s="168"/>
      <c r="O39" s="60"/>
      <c r="P39" s="6">
        <v>42.940055012899997</v>
      </c>
      <c r="Q39" s="12">
        <f t="shared" si="0"/>
        <v>-4.0055012899998133E-2</v>
      </c>
      <c r="R39" s="31">
        <v>0.22547523340200001</v>
      </c>
      <c r="S39" s="13">
        <v>12.2105978361</v>
      </c>
      <c r="T39" s="13">
        <v>0</v>
      </c>
      <c r="U39" s="13">
        <v>25.2377420724</v>
      </c>
      <c r="V39" s="45">
        <v>0</v>
      </c>
      <c r="W39" s="25">
        <f t="shared" si="1"/>
        <v>5.4516600914999955</v>
      </c>
    </row>
    <row r="40" spans="1:24" s="58" customFormat="1" x14ac:dyDescent="0.25">
      <c r="A40" s="151" t="s">
        <v>52</v>
      </c>
      <c r="B40" s="151" t="s">
        <v>32</v>
      </c>
      <c r="C40" s="151"/>
      <c r="D40" s="145">
        <f>SUM(D3:D39)</f>
        <v>1248.8807793810101</v>
      </c>
      <c r="E40" s="145"/>
      <c r="F40" s="145">
        <f t="shared" ref="F40:K40" si="2">SUM(F3:F39)</f>
        <v>538.31463112152005</v>
      </c>
      <c r="G40" s="145"/>
      <c r="H40" s="145">
        <f t="shared" si="2"/>
        <v>111.93859104965</v>
      </c>
      <c r="I40" s="145"/>
      <c r="J40" s="145">
        <f t="shared" si="2"/>
        <v>0</v>
      </c>
      <c r="K40" s="145">
        <f t="shared" si="2"/>
        <v>80.291440230727005</v>
      </c>
      <c r="L40" s="145">
        <f>SUM(L3:L39)</f>
        <v>54.560233677519996</v>
      </c>
      <c r="M40" s="145"/>
      <c r="N40" s="145">
        <f t="shared" ref="N40:W40" si="3">SUM(N3:N39)</f>
        <v>578.00000000000011</v>
      </c>
      <c r="O40" s="145">
        <f t="shared" si="3"/>
        <v>21.52654195325</v>
      </c>
      <c r="P40" s="145">
        <f t="shared" si="3"/>
        <v>647.952551569604</v>
      </c>
      <c r="Q40" s="145">
        <f t="shared" si="3"/>
        <v>600.92822781140592</v>
      </c>
      <c r="R40" s="145">
        <f t="shared" si="3"/>
        <v>78.023159549471814</v>
      </c>
      <c r="S40" s="145">
        <f t="shared" si="3"/>
        <v>443.70718408795307</v>
      </c>
      <c r="T40" s="145">
        <f t="shared" si="3"/>
        <v>272.10308556862702</v>
      </c>
      <c r="U40" s="145">
        <f t="shared" si="3"/>
        <v>221.0415365536256</v>
      </c>
      <c r="V40" s="145">
        <f t="shared" si="3"/>
        <v>18.072538325303</v>
      </c>
      <c r="W40" s="145">
        <f t="shared" si="3"/>
        <v>293.95643484550141</v>
      </c>
    </row>
    <row r="41" spans="1:24" s="138" customFormat="1" ht="18" customHeight="1" x14ac:dyDescent="0.25">
      <c r="A41" s="99"/>
      <c r="B41" s="99"/>
      <c r="C41" s="99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"/>
      <c r="R41" s="100"/>
      <c r="S41" s="485" t="s">
        <v>53</v>
      </c>
      <c r="T41" s="486"/>
      <c r="U41" s="486"/>
      <c r="V41" s="86" t="s">
        <v>9</v>
      </c>
      <c r="W41" s="49"/>
    </row>
    <row r="42" spans="1:24" s="138" customFormat="1" ht="30" x14ac:dyDescent="0.25">
      <c r="A42" s="99"/>
      <c r="B42" s="99"/>
      <c r="C42" s="99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"/>
      <c r="R42" s="100"/>
      <c r="S42" s="50" t="s">
        <v>54</v>
      </c>
      <c r="T42" s="50" t="s">
        <v>55</v>
      </c>
      <c r="U42" s="50" t="s">
        <v>56</v>
      </c>
      <c r="V42" s="165" t="s">
        <v>57</v>
      </c>
      <c r="W42" s="50" t="s">
        <v>58</v>
      </c>
    </row>
    <row r="43" spans="1:24" x14ac:dyDescent="0.25">
      <c r="A43" s="179">
        <v>9248</v>
      </c>
      <c r="B43" s="179" t="s">
        <v>59</v>
      </c>
      <c r="C43" s="179" t="s">
        <v>33</v>
      </c>
      <c r="D43" s="174">
        <v>7.0330942972099999</v>
      </c>
      <c r="E43" s="162" t="s">
        <v>39</v>
      </c>
      <c r="F43" s="133">
        <v>6.8696054371099997</v>
      </c>
      <c r="G43" s="162" t="s">
        <v>60</v>
      </c>
      <c r="H43" s="133">
        <v>0.16349077054</v>
      </c>
      <c r="I43" s="176"/>
      <c r="J43" s="176"/>
      <c r="K43" s="131">
        <v>0.59669088357</v>
      </c>
      <c r="L43" s="163">
        <v>0</v>
      </c>
      <c r="M43" s="181"/>
      <c r="N43" s="155"/>
      <c r="O43" s="158"/>
      <c r="P43" s="147">
        <v>7.0330942972099999</v>
      </c>
      <c r="Q43" s="148">
        <f t="shared" si="0"/>
        <v>0</v>
      </c>
      <c r="R43" s="167">
        <v>5.3045669916399998</v>
      </c>
      <c r="S43" s="150">
        <v>0</v>
      </c>
      <c r="T43" s="150">
        <v>0.156014657403</v>
      </c>
      <c r="U43" s="150">
        <v>0</v>
      </c>
      <c r="V43" s="154">
        <v>0</v>
      </c>
      <c r="W43" s="182">
        <f>D43-(S43+T43+U43+V43)</f>
        <v>6.8770796398069995</v>
      </c>
    </row>
    <row r="44" spans="1:24" x14ac:dyDescent="0.25">
      <c r="A44" s="1">
        <v>9249</v>
      </c>
      <c r="B44" s="1" t="s">
        <v>59</v>
      </c>
      <c r="C44" s="1" t="s">
        <v>33</v>
      </c>
      <c r="D44" s="7">
        <v>9.8218808824400003</v>
      </c>
      <c r="E44" s="79" t="s">
        <v>37</v>
      </c>
      <c r="F44" s="74">
        <v>9.8218808824400003</v>
      </c>
      <c r="G44" s="79"/>
      <c r="H44" s="74"/>
      <c r="I44" s="74"/>
      <c r="J44" s="74"/>
      <c r="K44" s="157">
        <v>3.2984003390500001</v>
      </c>
      <c r="L44" s="54">
        <v>0</v>
      </c>
      <c r="M44" s="46"/>
      <c r="N44" s="45"/>
      <c r="O44" s="127"/>
      <c r="P44" s="6">
        <v>9.8218808824499995</v>
      </c>
      <c r="Q44" s="16">
        <f t="shared" si="0"/>
        <v>-9.9991126489840099E-12</v>
      </c>
      <c r="R44" s="31">
        <v>0</v>
      </c>
      <c r="S44" s="13">
        <v>0</v>
      </c>
      <c r="T44" s="13">
        <v>0</v>
      </c>
      <c r="U44" s="13">
        <v>9.8218808824299995</v>
      </c>
      <c r="V44" s="45">
        <v>0</v>
      </c>
      <c r="W44" s="25">
        <f t="shared" ref="W44:W78" si="4">D44-(S44+T44+U44+V44)</f>
        <v>1.000088900582341E-11</v>
      </c>
    </row>
    <row r="45" spans="1:24" x14ac:dyDescent="0.25">
      <c r="A45" s="179">
        <v>9250</v>
      </c>
      <c r="B45" s="179" t="s">
        <v>59</v>
      </c>
      <c r="C45" s="179" t="s">
        <v>33</v>
      </c>
      <c r="D45" s="143">
        <v>79.596892911889995</v>
      </c>
      <c r="E45" s="162" t="s">
        <v>39</v>
      </c>
      <c r="F45" s="133">
        <v>79.596892911889995</v>
      </c>
      <c r="G45" s="152"/>
      <c r="H45" s="176"/>
      <c r="I45" s="176"/>
      <c r="J45" s="141"/>
      <c r="K45" s="131">
        <v>26.190053561300001</v>
      </c>
      <c r="L45" s="163">
        <v>1.4912189144400001</v>
      </c>
      <c r="M45" s="139"/>
      <c r="N45" s="170"/>
      <c r="O45" s="140"/>
      <c r="P45" s="6">
        <v>79.596892911899999</v>
      </c>
      <c r="Q45" s="16">
        <f t="shared" si="0"/>
        <v>-1.0004441719502211E-11</v>
      </c>
      <c r="R45" s="149">
        <v>78.477962133000005</v>
      </c>
      <c r="S45" s="150">
        <v>0</v>
      </c>
      <c r="T45" s="150">
        <v>24.237964796</v>
      </c>
      <c r="U45" s="150">
        <v>0</v>
      </c>
      <c r="V45" s="154">
        <v>0</v>
      </c>
      <c r="W45" s="25">
        <f t="shared" si="4"/>
        <v>55.358928115889995</v>
      </c>
    </row>
    <row r="46" spans="1:24" x14ac:dyDescent="0.25">
      <c r="A46" s="1">
        <v>9251</v>
      </c>
      <c r="B46" s="1" t="s">
        <v>59</v>
      </c>
      <c r="C46" s="1" t="s">
        <v>33</v>
      </c>
      <c r="D46" s="4">
        <v>12.881675145859999</v>
      </c>
      <c r="E46" s="79" t="s">
        <v>61</v>
      </c>
      <c r="F46" s="74">
        <v>8.2830660175700004</v>
      </c>
      <c r="G46" s="79"/>
      <c r="H46" s="74"/>
      <c r="K46" s="157">
        <v>0</v>
      </c>
      <c r="L46" s="54">
        <v>0</v>
      </c>
      <c r="M46" s="114"/>
      <c r="N46" s="66"/>
      <c r="O46" s="127">
        <v>4.5999999999999996</v>
      </c>
      <c r="P46" s="6">
        <v>8.3000000000000007</v>
      </c>
      <c r="Q46" s="16">
        <f t="shared" si="0"/>
        <v>4.5816751458599985</v>
      </c>
      <c r="R46" s="8">
        <v>0</v>
      </c>
      <c r="S46" s="13">
        <v>8.7690908134000001</v>
      </c>
      <c r="T46" s="13">
        <v>4.11258433244</v>
      </c>
      <c r="U46" s="13">
        <v>0</v>
      </c>
      <c r="V46" s="45">
        <v>0</v>
      </c>
      <c r="W46" s="25">
        <f t="shared" si="4"/>
        <v>2.000000165480742E-11</v>
      </c>
    </row>
    <row r="47" spans="1:24" x14ac:dyDescent="0.25">
      <c r="A47" s="1">
        <v>9252</v>
      </c>
      <c r="B47" s="1" t="s">
        <v>59</v>
      </c>
      <c r="C47" s="1" t="s">
        <v>33</v>
      </c>
      <c r="D47" s="4">
        <v>68.405985851799997</v>
      </c>
      <c r="E47" s="79" t="s">
        <v>34</v>
      </c>
      <c r="F47" s="74">
        <v>30.619108998129999</v>
      </c>
      <c r="G47" s="79" t="s">
        <v>46</v>
      </c>
      <c r="H47" s="74">
        <v>31.789719070619999</v>
      </c>
      <c r="I47" s="77"/>
      <c r="J47" s="109"/>
      <c r="K47" s="157">
        <v>2.4129908484799998</v>
      </c>
      <c r="L47" s="54">
        <v>0</v>
      </c>
      <c r="M47" s="114"/>
      <c r="N47" s="66"/>
      <c r="O47" s="127">
        <v>6</v>
      </c>
      <c r="P47" s="6">
        <v>62.271092263699998</v>
      </c>
      <c r="Q47" s="16">
        <f t="shared" si="0"/>
        <v>6.1348935880999989</v>
      </c>
      <c r="R47" s="8">
        <v>0</v>
      </c>
      <c r="S47" s="13">
        <v>27.627785095299998</v>
      </c>
      <c r="T47" s="13">
        <v>14.3672998728</v>
      </c>
      <c r="U47" s="13">
        <v>18.067666153299999</v>
      </c>
      <c r="V47" s="45">
        <v>0</v>
      </c>
      <c r="W47" s="25">
        <f t="shared" si="4"/>
        <v>8.343234730399999</v>
      </c>
    </row>
    <row r="48" spans="1:24" x14ac:dyDescent="0.25">
      <c r="A48" s="1">
        <v>9253</v>
      </c>
      <c r="B48" s="1" t="s">
        <v>59</v>
      </c>
      <c r="C48" s="1" t="s">
        <v>33</v>
      </c>
      <c r="D48" s="4">
        <v>17.59185507914</v>
      </c>
      <c r="E48" s="79" t="s">
        <v>62</v>
      </c>
      <c r="F48" s="74">
        <v>17.59185507914</v>
      </c>
      <c r="G48" s="78"/>
      <c r="H48" s="77"/>
      <c r="I48" s="77"/>
      <c r="J48" s="109"/>
      <c r="K48" s="157">
        <v>0</v>
      </c>
      <c r="L48" s="54">
        <v>0</v>
      </c>
      <c r="M48" s="114"/>
      <c r="N48" s="66"/>
      <c r="O48" s="127"/>
      <c r="P48" s="6">
        <v>17.5918550791</v>
      </c>
      <c r="Q48" s="16">
        <f t="shared" si="0"/>
        <v>4.000000330961484E-11</v>
      </c>
      <c r="R48" s="8">
        <v>3.5722425691500002</v>
      </c>
      <c r="S48" s="13">
        <v>15.862462688100001</v>
      </c>
      <c r="T48" s="13">
        <v>1.72939239107</v>
      </c>
      <c r="U48" s="13">
        <v>0</v>
      </c>
      <c r="V48" s="45">
        <v>0</v>
      </c>
      <c r="W48" s="25">
        <f t="shared" si="4"/>
        <v>-2.999911430379143E-11</v>
      </c>
      <c r="X48" s="15"/>
    </row>
    <row r="49" spans="1:27" x14ac:dyDescent="0.25">
      <c r="A49" s="1">
        <v>9254</v>
      </c>
      <c r="B49" s="1" t="s">
        <v>59</v>
      </c>
      <c r="C49" s="1" t="s">
        <v>33</v>
      </c>
      <c r="D49" s="4">
        <v>7.3706989651899999</v>
      </c>
      <c r="E49" s="79" t="s">
        <v>39</v>
      </c>
      <c r="F49" s="74">
        <v>7.3706989651899999</v>
      </c>
      <c r="G49" s="75"/>
      <c r="H49" s="76"/>
      <c r="I49" s="77"/>
      <c r="J49" s="109"/>
      <c r="K49" s="157">
        <v>0</v>
      </c>
      <c r="L49" s="54">
        <v>0</v>
      </c>
      <c r="M49" s="114"/>
      <c r="N49" s="66"/>
      <c r="O49" s="127"/>
      <c r="P49" s="6">
        <v>7.3706989651999999</v>
      </c>
      <c r="Q49" s="16">
        <f t="shared" si="0"/>
        <v>-1.000000082740371E-11</v>
      </c>
      <c r="R49" s="8">
        <v>7.3706989651899999</v>
      </c>
      <c r="S49" s="13">
        <v>0</v>
      </c>
      <c r="T49" s="13">
        <v>0</v>
      </c>
      <c r="U49" s="13">
        <v>0</v>
      </c>
      <c r="V49" s="45">
        <v>0</v>
      </c>
      <c r="W49" s="25">
        <f t="shared" si="4"/>
        <v>7.3706989651899999</v>
      </c>
    </row>
    <row r="50" spans="1:27" x14ac:dyDescent="0.25">
      <c r="A50" s="1">
        <v>9255</v>
      </c>
      <c r="B50" s="1" t="s">
        <v>59</v>
      </c>
      <c r="C50" s="1" t="s">
        <v>33</v>
      </c>
      <c r="D50" s="4">
        <v>107.42380281139999</v>
      </c>
      <c r="E50" s="79" t="s">
        <v>39</v>
      </c>
      <c r="F50" s="74">
        <v>107.42380281139999</v>
      </c>
      <c r="G50" s="78"/>
      <c r="H50" s="77"/>
      <c r="I50" s="77"/>
      <c r="J50" s="109"/>
      <c r="K50" s="157">
        <v>0</v>
      </c>
      <c r="L50" s="54">
        <v>76.012654897999994</v>
      </c>
      <c r="M50" s="114"/>
      <c r="N50" s="66"/>
      <c r="O50" s="127"/>
      <c r="P50" s="6">
        <v>107.423802811</v>
      </c>
      <c r="Q50" s="16">
        <f t="shared" si="0"/>
        <v>3.999929276687908E-10</v>
      </c>
      <c r="R50" s="8">
        <v>43.017721637699999</v>
      </c>
      <c r="S50" s="13">
        <v>0</v>
      </c>
      <c r="T50" s="13">
        <v>0</v>
      </c>
      <c r="U50" s="13">
        <v>0</v>
      </c>
      <c r="V50" s="45">
        <v>0</v>
      </c>
      <c r="W50" s="25">
        <f t="shared" si="4"/>
        <v>107.42380281139999</v>
      </c>
    </row>
    <row r="51" spans="1:27" x14ac:dyDescent="0.25">
      <c r="A51" s="1">
        <v>9256</v>
      </c>
      <c r="B51" s="1" t="s">
        <v>59</v>
      </c>
      <c r="C51" s="1" t="s">
        <v>33</v>
      </c>
      <c r="D51" s="4">
        <v>21.39906702347</v>
      </c>
      <c r="E51" s="79" t="s">
        <v>63</v>
      </c>
      <c r="F51" s="74">
        <v>20.6838756623</v>
      </c>
      <c r="G51" s="79" t="s">
        <v>64</v>
      </c>
      <c r="H51" s="74">
        <v>0.71519111368999999</v>
      </c>
      <c r="I51" s="77"/>
      <c r="J51" s="109"/>
      <c r="K51" s="157">
        <v>4.6033378442200004</v>
      </c>
      <c r="L51" s="54">
        <v>0</v>
      </c>
      <c r="M51" s="114"/>
      <c r="N51" s="66"/>
      <c r="O51" s="127"/>
      <c r="P51" s="6">
        <v>21.399067023499999</v>
      </c>
      <c r="Q51" s="16">
        <f t="shared" si="0"/>
        <v>-2.999911430379143E-11</v>
      </c>
      <c r="R51" s="8">
        <v>0</v>
      </c>
      <c r="S51" s="13">
        <v>0</v>
      </c>
      <c r="T51" s="13">
        <v>16.795684116299999</v>
      </c>
      <c r="U51" s="13">
        <v>0</v>
      </c>
      <c r="V51" s="45">
        <v>0</v>
      </c>
      <c r="W51" s="25">
        <f t="shared" si="4"/>
        <v>4.6033829071700012</v>
      </c>
    </row>
    <row r="52" spans="1:27" x14ac:dyDescent="0.25">
      <c r="A52" s="1">
        <v>9257</v>
      </c>
      <c r="B52" s="1" t="s">
        <v>59</v>
      </c>
      <c r="C52" s="1" t="s">
        <v>33</v>
      </c>
      <c r="D52" s="4">
        <v>47.35672567204</v>
      </c>
      <c r="E52" s="79" t="s">
        <v>34</v>
      </c>
      <c r="F52" s="74">
        <v>47.356725672030002</v>
      </c>
      <c r="G52" s="75"/>
      <c r="H52" s="76"/>
      <c r="I52" s="77"/>
      <c r="J52" s="109"/>
      <c r="K52" s="157">
        <v>0</v>
      </c>
      <c r="L52" s="54">
        <v>0</v>
      </c>
      <c r="M52" s="114"/>
      <c r="N52" s="66"/>
      <c r="O52" s="127"/>
      <c r="P52" s="6">
        <v>0.16354267100600001</v>
      </c>
      <c r="Q52" s="16">
        <f t="shared" si="0"/>
        <v>47.193183001034001</v>
      </c>
      <c r="R52" s="8">
        <v>0</v>
      </c>
      <c r="S52" s="13">
        <v>47.356725672000003</v>
      </c>
      <c r="T52" s="13">
        <v>0</v>
      </c>
      <c r="U52" s="13">
        <v>0</v>
      </c>
      <c r="V52" s="45">
        <v>0</v>
      </c>
      <c r="W52" s="25">
        <f t="shared" si="4"/>
        <v>3.9996450595936039E-11</v>
      </c>
      <c r="X52" s="15"/>
      <c r="AA52" s="15"/>
    </row>
    <row r="53" spans="1:27" x14ac:dyDescent="0.25">
      <c r="A53" s="1">
        <v>9258</v>
      </c>
      <c r="B53" s="1" t="s">
        <v>59</v>
      </c>
      <c r="C53" s="1" t="s">
        <v>33</v>
      </c>
      <c r="D53" s="4">
        <v>18.06605447419</v>
      </c>
      <c r="E53" s="79" t="s">
        <v>37</v>
      </c>
      <c r="F53" s="74">
        <v>5.9845917808599998</v>
      </c>
      <c r="G53" s="79" t="s">
        <v>34</v>
      </c>
      <c r="H53" s="74">
        <v>12.08146269335</v>
      </c>
      <c r="I53" s="77"/>
      <c r="J53" s="109"/>
      <c r="K53" s="157">
        <v>0</v>
      </c>
      <c r="L53" s="54">
        <v>0</v>
      </c>
      <c r="M53" s="114"/>
      <c r="N53" s="66"/>
      <c r="O53" s="127"/>
      <c r="P53" s="6">
        <v>16.0317893283</v>
      </c>
      <c r="Q53" s="16">
        <f t="shared" si="0"/>
        <v>2.0342651458900001</v>
      </c>
      <c r="R53" s="8">
        <v>0</v>
      </c>
      <c r="S53" s="13">
        <v>6.6016274390399996</v>
      </c>
      <c r="T53" s="13">
        <v>11.4644270352</v>
      </c>
      <c r="U53" s="13">
        <v>0</v>
      </c>
      <c r="V53" s="45">
        <v>0</v>
      </c>
      <c r="W53" s="25">
        <f t="shared" si="4"/>
        <v>-4.999733960175945E-11</v>
      </c>
    </row>
    <row r="54" spans="1:27" x14ac:dyDescent="0.25">
      <c r="A54" s="1">
        <v>9260</v>
      </c>
      <c r="B54" s="1" t="s">
        <v>59</v>
      </c>
      <c r="C54" s="1" t="s">
        <v>33</v>
      </c>
      <c r="D54" s="4">
        <v>45.347406242220003</v>
      </c>
      <c r="E54" s="79" t="s">
        <v>34</v>
      </c>
      <c r="F54" s="74">
        <v>45.347406242230001</v>
      </c>
      <c r="G54" s="78"/>
      <c r="H54" s="77"/>
      <c r="I54" s="77"/>
      <c r="J54" s="109"/>
      <c r="K54" s="157">
        <v>4.7010861629700003</v>
      </c>
      <c r="L54" s="54">
        <v>0</v>
      </c>
      <c r="M54" s="114"/>
      <c r="N54" s="66"/>
      <c r="O54" s="127"/>
      <c r="P54" s="6">
        <v>34.7676164493</v>
      </c>
      <c r="Q54" s="16">
        <f t="shared" si="0"/>
        <v>10.579789792920003</v>
      </c>
      <c r="R54" s="8">
        <v>9.1536664570199999</v>
      </c>
      <c r="S54" s="13">
        <v>14.9568740794</v>
      </c>
      <c r="T54" s="13">
        <v>4.0733910902300003</v>
      </c>
      <c r="U54" s="13">
        <v>11.8060542254</v>
      </c>
      <c r="V54" s="45">
        <v>0</v>
      </c>
      <c r="W54" s="25">
        <f t="shared" si="4"/>
        <v>14.511086847190004</v>
      </c>
    </row>
    <row r="55" spans="1:27" x14ac:dyDescent="0.25">
      <c r="A55" s="1">
        <v>9265</v>
      </c>
      <c r="B55" s="1" t="s">
        <v>59</v>
      </c>
      <c r="C55" s="1" t="s">
        <v>33</v>
      </c>
      <c r="D55" s="4">
        <v>17.242393701920001</v>
      </c>
      <c r="E55" s="79" t="s">
        <v>34</v>
      </c>
      <c r="F55" s="74">
        <v>17.242393701929998</v>
      </c>
      <c r="G55" s="79"/>
      <c r="H55" s="74"/>
      <c r="I55" s="77"/>
      <c r="J55" s="109"/>
      <c r="K55" s="157">
        <v>2.8198078760700001</v>
      </c>
      <c r="L55" s="54">
        <v>0</v>
      </c>
      <c r="M55" s="114"/>
      <c r="N55" s="66"/>
      <c r="O55" s="127"/>
      <c r="P55" s="6">
        <v>17.242393701899999</v>
      </c>
      <c r="Q55" s="16">
        <f t="shared" si="0"/>
        <v>2.000177801164682E-11</v>
      </c>
      <c r="R55" s="8">
        <v>0</v>
      </c>
      <c r="S55" s="13">
        <v>7.4374792058799999</v>
      </c>
      <c r="T55" s="13">
        <v>0.86566472351900003</v>
      </c>
      <c r="U55" s="13">
        <v>8.6183025957399995</v>
      </c>
      <c r="V55" s="45">
        <v>0</v>
      </c>
      <c r="W55" s="25">
        <f t="shared" si="4"/>
        <v>0.32094717678100437</v>
      </c>
    </row>
    <row r="56" spans="1:27" x14ac:dyDescent="0.25">
      <c r="A56" s="1">
        <v>9266</v>
      </c>
      <c r="B56" s="1" t="s">
        <v>59</v>
      </c>
      <c r="C56" s="1" t="s">
        <v>33</v>
      </c>
      <c r="D56" s="4">
        <v>24.788757736840001</v>
      </c>
      <c r="E56" s="79" t="s">
        <v>39</v>
      </c>
      <c r="F56" s="74">
        <v>24.788757736840001</v>
      </c>
      <c r="G56" s="78"/>
      <c r="H56" s="77"/>
      <c r="I56" s="77"/>
      <c r="J56" s="109"/>
      <c r="K56" s="157">
        <v>1.1600455536200001</v>
      </c>
      <c r="L56" s="54">
        <v>0</v>
      </c>
      <c r="M56" s="114"/>
      <c r="N56" s="66"/>
      <c r="O56" s="127"/>
      <c r="P56" s="6">
        <v>24.788757736800001</v>
      </c>
      <c r="Q56" s="16">
        <f t="shared" si="0"/>
        <v>4.000000330961484E-11</v>
      </c>
      <c r="R56" s="8">
        <v>12.500487293200001</v>
      </c>
      <c r="S56" s="13">
        <v>0</v>
      </c>
      <c r="T56" s="13">
        <v>0</v>
      </c>
      <c r="U56" s="13">
        <v>0</v>
      </c>
      <c r="V56" s="45">
        <v>0</v>
      </c>
      <c r="W56" s="25">
        <f t="shared" si="4"/>
        <v>24.788757736840001</v>
      </c>
    </row>
    <row r="57" spans="1:27" x14ac:dyDescent="0.25">
      <c r="A57" s="1">
        <v>10412</v>
      </c>
      <c r="B57" s="1" t="s">
        <v>59</v>
      </c>
      <c r="C57" s="1" t="s">
        <v>38</v>
      </c>
      <c r="D57" s="4">
        <v>5.9457354398</v>
      </c>
      <c r="E57" s="79" t="s">
        <v>44</v>
      </c>
      <c r="F57" s="74">
        <v>5.87414926709</v>
      </c>
      <c r="G57" s="75"/>
      <c r="H57" s="76"/>
      <c r="I57" s="77"/>
      <c r="J57" s="109"/>
      <c r="K57" s="157">
        <v>0</v>
      </c>
      <c r="L57" s="54">
        <v>0</v>
      </c>
      <c r="M57" s="114"/>
      <c r="N57" s="66"/>
      <c r="O57" s="127">
        <v>9.5936806244299996E-2</v>
      </c>
      <c r="P57" s="6">
        <v>5.8497986335099998</v>
      </c>
      <c r="Q57" s="16">
        <f t="shared" si="0"/>
        <v>9.5936806290000121E-2</v>
      </c>
      <c r="R57" s="8">
        <v>0</v>
      </c>
      <c r="S57" s="13">
        <v>5.9457354398</v>
      </c>
      <c r="T57" s="13">
        <v>0</v>
      </c>
      <c r="U57" s="13">
        <v>0</v>
      </c>
      <c r="V57" s="45">
        <v>0</v>
      </c>
      <c r="W57" s="25">
        <f t="shared" si="4"/>
        <v>0</v>
      </c>
    </row>
    <row r="58" spans="1:27" x14ac:dyDescent="0.25">
      <c r="A58" s="1">
        <v>10413</v>
      </c>
      <c r="B58" s="1" t="s">
        <v>59</v>
      </c>
      <c r="C58" s="1" t="s">
        <v>41</v>
      </c>
      <c r="D58" s="4">
        <v>39.072607029540002</v>
      </c>
      <c r="E58" s="75"/>
      <c r="F58" s="76"/>
      <c r="G58" s="78"/>
      <c r="H58" s="77"/>
      <c r="I58" s="77"/>
      <c r="J58" s="109"/>
      <c r="K58" s="157">
        <v>0</v>
      </c>
      <c r="L58" s="54">
        <v>0</v>
      </c>
      <c r="M58" s="114"/>
      <c r="N58" s="66"/>
      <c r="O58" s="127">
        <v>39.082261112600001</v>
      </c>
      <c r="P58" s="6">
        <v>1.8038753671899999E-3</v>
      </c>
      <c r="Q58" s="16">
        <f t="shared" si="0"/>
        <v>39.070803154172815</v>
      </c>
      <c r="R58" s="8">
        <v>0</v>
      </c>
      <c r="S58" s="13">
        <v>1.3047749827399999</v>
      </c>
      <c r="T58" s="13">
        <v>0</v>
      </c>
      <c r="U58" s="13">
        <v>0</v>
      </c>
      <c r="V58" s="45">
        <v>0</v>
      </c>
      <c r="W58" s="25">
        <f t="shared" si="4"/>
        <v>37.767832046800002</v>
      </c>
    </row>
    <row r="59" spans="1:27" x14ac:dyDescent="0.25">
      <c r="A59" s="1">
        <v>10414</v>
      </c>
      <c r="B59" s="1" t="s">
        <v>59</v>
      </c>
      <c r="C59" s="1" t="s">
        <v>38</v>
      </c>
      <c r="D59" s="4">
        <v>7.7582854831799999</v>
      </c>
      <c r="E59" s="79" t="s">
        <v>39</v>
      </c>
      <c r="F59" s="74">
        <v>7.7582854831799999</v>
      </c>
      <c r="G59" s="79"/>
      <c r="H59" s="74"/>
      <c r="I59" s="74"/>
      <c r="J59" s="105"/>
      <c r="K59" s="157">
        <v>0</v>
      </c>
      <c r="L59" s="54">
        <v>7.7582854831699999</v>
      </c>
      <c r="M59" s="114"/>
      <c r="N59" s="66"/>
      <c r="O59" s="127"/>
      <c r="P59" s="6">
        <v>7.7582854831699999</v>
      </c>
      <c r="Q59" s="16">
        <f t="shared" si="0"/>
        <v>1.000000082740371E-11</v>
      </c>
      <c r="R59" s="8">
        <v>7.7582854831699999</v>
      </c>
      <c r="S59" s="13">
        <v>0</v>
      </c>
      <c r="T59" s="13">
        <v>0</v>
      </c>
      <c r="U59" s="13">
        <v>0</v>
      </c>
      <c r="V59" s="45">
        <v>0</v>
      </c>
      <c r="W59" s="25">
        <f t="shared" si="4"/>
        <v>7.7582854831799999</v>
      </c>
    </row>
    <row r="60" spans="1:27" x14ac:dyDescent="0.25">
      <c r="A60" s="1">
        <v>10415</v>
      </c>
      <c r="B60" s="1" t="s">
        <v>59</v>
      </c>
      <c r="C60" s="1" t="s">
        <v>38</v>
      </c>
      <c r="D60" s="4">
        <v>8.5671085119000008</v>
      </c>
      <c r="E60" s="79" t="s">
        <v>39</v>
      </c>
      <c r="F60" s="74">
        <v>8.5671085119000008</v>
      </c>
      <c r="G60" s="78"/>
      <c r="H60" s="77"/>
      <c r="I60" s="77"/>
      <c r="J60" s="109"/>
      <c r="K60" s="157">
        <v>3.6836950530200001</v>
      </c>
      <c r="L60" s="54">
        <v>8.5671085119099999</v>
      </c>
      <c r="M60" s="114"/>
      <c r="N60" s="66"/>
      <c r="O60" s="127"/>
      <c r="P60" s="6">
        <v>8.5671085119099999</v>
      </c>
      <c r="Q60" s="16">
        <f t="shared" si="0"/>
        <v>-9.9991126489840099E-12</v>
      </c>
      <c r="R60" s="8">
        <v>8.5671085119099999</v>
      </c>
      <c r="S60" s="13">
        <v>3.6836949947200002</v>
      </c>
      <c r="T60" s="13">
        <v>0</v>
      </c>
      <c r="U60" s="13">
        <v>0</v>
      </c>
      <c r="V60" s="45">
        <v>0</v>
      </c>
      <c r="W60" s="25">
        <f t="shared" si="4"/>
        <v>4.8834135171800011</v>
      </c>
    </row>
    <row r="61" spans="1:27" x14ac:dyDescent="0.25">
      <c r="A61" s="1">
        <v>10416</v>
      </c>
      <c r="B61" s="1" t="s">
        <v>59</v>
      </c>
      <c r="C61" s="1" t="s">
        <v>38</v>
      </c>
      <c r="D61" s="4">
        <v>35.097878626949999</v>
      </c>
      <c r="E61" s="79" t="s">
        <v>39</v>
      </c>
      <c r="F61" s="74">
        <v>35.097878626949999</v>
      </c>
      <c r="G61" s="78"/>
      <c r="H61" s="77"/>
      <c r="I61" s="77"/>
      <c r="J61" s="109"/>
      <c r="K61" s="157">
        <v>6.8407750949599997</v>
      </c>
      <c r="L61" s="54">
        <v>33.528218424899997</v>
      </c>
      <c r="M61" s="114"/>
      <c r="N61" s="66"/>
      <c r="O61" s="127"/>
      <c r="P61" s="6">
        <v>35.097878626899998</v>
      </c>
      <c r="Q61" s="16">
        <f t="shared" si="0"/>
        <v>5.000089231543825E-11</v>
      </c>
      <c r="R61" s="8">
        <v>34.246171922800002</v>
      </c>
      <c r="S61" s="13">
        <v>4.9036192626400004</v>
      </c>
      <c r="T61" s="13">
        <v>0.55675984114400001</v>
      </c>
      <c r="U61" s="13">
        <v>0</v>
      </c>
      <c r="V61" s="45">
        <v>0</v>
      </c>
      <c r="W61" s="25">
        <f t="shared" si="4"/>
        <v>29.637499523165999</v>
      </c>
    </row>
    <row r="62" spans="1:27" x14ac:dyDescent="0.25">
      <c r="A62" s="1">
        <v>10417</v>
      </c>
      <c r="B62" s="1" t="s">
        <v>59</v>
      </c>
      <c r="C62" s="1" t="s">
        <v>38</v>
      </c>
      <c r="D62" s="4">
        <v>9.5954030745099992</v>
      </c>
      <c r="E62" s="79" t="s">
        <v>34</v>
      </c>
      <c r="F62" s="74">
        <v>9.5954030745200001</v>
      </c>
      <c r="G62" s="78"/>
      <c r="H62" s="77"/>
      <c r="I62" s="77"/>
      <c r="J62" s="109"/>
      <c r="K62" s="157">
        <v>0</v>
      </c>
      <c r="L62" s="54">
        <v>0</v>
      </c>
      <c r="M62" s="110"/>
      <c r="N62" s="65"/>
      <c r="O62" s="173"/>
      <c r="P62" s="6">
        <v>9.5954030745099992</v>
      </c>
      <c r="Q62" s="16">
        <f t="shared" si="0"/>
        <v>0</v>
      </c>
      <c r="R62" s="8">
        <v>3.1971118116300001</v>
      </c>
      <c r="S62" s="13">
        <v>3.1971288286399999</v>
      </c>
      <c r="T62" s="13">
        <v>0</v>
      </c>
      <c r="U62" s="13">
        <v>1.29172957584E-3</v>
      </c>
      <c r="V62" s="45">
        <v>0</v>
      </c>
      <c r="W62" s="25">
        <f t="shared" si="4"/>
        <v>6.3969825162941589</v>
      </c>
    </row>
    <row r="63" spans="1:27" x14ac:dyDescent="0.25">
      <c r="A63" s="1">
        <v>10418</v>
      </c>
      <c r="B63" s="1" t="s">
        <v>59</v>
      </c>
      <c r="C63" s="1" t="s">
        <v>38</v>
      </c>
      <c r="D63" s="4">
        <v>13.13971863904</v>
      </c>
      <c r="E63" s="79" t="s">
        <v>34</v>
      </c>
      <c r="F63" s="74">
        <v>9.5598601864399999</v>
      </c>
      <c r="G63" s="78"/>
      <c r="H63" s="77"/>
      <c r="I63" s="77"/>
      <c r="J63" s="109"/>
      <c r="K63" s="157">
        <v>0</v>
      </c>
      <c r="L63" s="54">
        <v>0</v>
      </c>
      <c r="M63" s="110"/>
      <c r="N63" s="65"/>
      <c r="O63" s="127">
        <v>3.5798584525999999</v>
      </c>
      <c r="P63" s="6">
        <v>9.5598601863399999</v>
      </c>
      <c r="Q63" s="16">
        <f t="shared" si="0"/>
        <v>3.5798584526999999</v>
      </c>
      <c r="R63" s="8">
        <v>0</v>
      </c>
      <c r="S63" s="13">
        <v>3.4802561509499998</v>
      </c>
      <c r="T63" s="13">
        <v>0</v>
      </c>
      <c r="U63" s="13">
        <v>8.6043668935100008</v>
      </c>
      <c r="V63" s="45">
        <v>0</v>
      </c>
      <c r="W63" s="25">
        <f t="shared" si="4"/>
        <v>1.0550955945799991</v>
      </c>
    </row>
    <row r="64" spans="1:27" x14ac:dyDescent="0.25">
      <c r="A64" s="1">
        <v>10419</v>
      </c>
      <c r="B64" s="1" t="s">
        <v>59</v>
      </c>
      <c r="C64" s="1" t="s">
        <v>38</v>
      </c>
      <c r="D64" s="4">
        <v>11.928787298310001</v>
      </c>
      <c r="E64" s="79" t="s">
        <v>34</v>
      </c>
      <c r="F64" s="74">
        <v>9.73442494771</v>
      </c>
      <c r="G64" s="75"/>
      <c r="H64" s="76"/>
      <c r="I64" s="75"/>
      <c r="J64" s="111"/>
      <c r="K64" s="157">
        <v>0.58905762445099996</v>
      </c>
      <c r="L64" s="54">
        <v>0</v>
      </c>
      <c r="M64" s="115"/>
      <c r="N64" s="67"/>
      <c r="O64" s="127">
        <v>2.1943623505400001</v>
      </c>
      <c r="P64" s="6">
        <v>9.7344249477599991</v>
      </c>
      <c r="Q64" s="16">
        <f t="shared" si="0"/>
        <v>2.1943623505500014</v>
      </c>
      <c r="R64" s="8">
        <v>5.0334900082800003</v>
      </c>
      <c r="S64" s="13">
        <v>5.1966163640499996</v>
      </c>
      <c r="T64" s="13">
        <v>0</v>
      </c>
      <c r="U64" s="13">
        <v>6.73217093426</v>
      </c>
      <c r="V64" s="45">
        <v>0</v>
      </c>
      <c r="W64" s="25">
        <f t="shared" si="4"/>
        <v>0</v>
      </c>
    </row>
    <row r="65" spans="1:24" x14ac:dyDescent="0.25">
      <c r="A65" s="1">
        <v>10421</v>
      </c>
      <c r="B65" s="1" t="s">
        <v>59</v>
      </c>
      <c r="C65" s="1" t="s">
        <v>38</v>
      </c>
      <c r="D65" s="4">
        <v>9.1502038096000007</v>
      </c>
      <c r="E65" s="79" t="s">
        <v>37</v>
      </c>
      <c r="F65" s="74">
        <v>5.0715360577600004</v>
      </c>
      <c r="G65" s="79" t="s">
        <v>34</v>
      </c>
      <c r="H65" s="74">
        <v>0.40989511548000002</v>
      </c>
      <c r="I65" s="77"/>
      <c r="J65" s="109"/>
      <c r="K65" s="157">
        <v>0</v>
      </c>
      <c r="L65" s="54">
        <v>0</v>
      </c>
      <c r="M65" s="115"/>
      <c r="N65" s="67"/>
      <c r="O65" s="127">
        <v>3.6687726362599999</v>
      </c>
      <c r="P65" s="6">
        <v>3.68418086417</v>
      </c>
      <c r="Q65" s="16">
        <f t="shared" si="0"/>
        <v>5.4660229454300007</v>
      </c>
      <c r="R65" s="8">
        <v>0</v>
      </c>
      <c r="S65" s="13">
        <v>7.2856262237999996</v>
      </c>
      <c r="T65" s="13">
        <v>3.0875254705999999E-2</v>
      </c>
      <c r="U65" s="13">
        <v>0</v>
      </c>
      <c r="V65" s="45">
        <v>0</v>
      </c>
      <c r="W65" s="25">
        <f t="shared" si="4"/>
        <v>1.8337023310940008</v>
      </c>
    </row>
    <row r="66" spans="1:24" x14ac:dyDescent="0.25">
      <c r="A66" s="1">
        <v>10422</v>
      </c>
      <c r="B66" s="1" t="s">
        <v>59</v>
      </c>
      <c r="C66" s="1" t="s">
        <v>38</v>
      </c>
      <c r="D66" s="4">
        <v>14.39973426105</v>
      </c>
      <c r="E66" s="79" t="s">
        <v>34</v>
      </c>
      <c r="F66" s="74">
        <v>14.39973426105</v>
      </c>
      <c r="G66" s="78"/>
      <c r="H66" s="77"/>
      <c r="I66" s="77"/>
      <c r="J66" s="109"/>
      <c r="K66" s="157">
        <v>8.0989568512699996</v>
      </c>
      <c r="L66" s="54">
        <v>0</v>
      </c>
      <c r="M66" s="115"/>
      <c r="N66" s="67"/>
      <c r="O66" s="130"/>
      <c r="P66" s="6">
        <v>0.36311442249699999</v>
      </c>
      <c r="Q66" s="16">
        <f t="shared" si="0"/>
        <v>14.036619838552999</v>
      </c>
      <c r="R66" s="8">
        <v>0</v>
      </c>
      <c r="S66" s="13">
        <v>7.4652479412700004</v>
      </c>
      <c r="T66" s="13">
        <v>6.9344863197600004</v>
      </c>
      <c r="U66" s="13">
        <v>0</v>
      </c>
      <c r="V66" s="45">
        <v>0</v>
      </c>
      <c r="W66" s="25">
        <f t="shared" si="4"/>
        <v>1.999822529796802E-11</v>
      </c>
    </row>
    <row r="67" spans="1:24" x14ac:dyDescent="0.25">
      <c r="A67" s="1">
        <v>10436</v>
      </c>
      <c r="B67" s="1" t="s">
        <v>59</v>
      </c>
      <c r="C67" s="1" t="s">
        <v>38</v>
      </c>
      <c r="D67" s="4">
        <v>19.771305198010001</v>
      </c>
      <c r="E67" s="79" t="s">
        <v>34</v>
      </c>
      <c r="F67" s="74">
        <v>19.771305198010001</v>
      </c>
      <c r="G67" s="78"/>
      <c r="H67" s="77"/>
      <c r="I67" s="77"/>
      <c r="J67" s="109"/>
      <c r="K67" s="157">
        <v>0</v>
      </c>
      <c r="L67" s="54">
        <v>0</v>
      </c>
      <c r="M67" s="115"/>
      <c r="N67" s="67"/>
      <c r="O67" s="130"/>
      <c r="P67" s="6">
        <v>11.9783148281</v>
      </c>
      <c r="Q67" s="16">
        <f t="shared" si="0"/>
        <v>7.7929903699100009</v>
      </c>
      <c r="R67" s="8">
        <v>0</v>
      </c>
      <c r="S67" s="13">
        <v>17.670274196699999</v>
      </c>
      <c r="T67" s="13">
        <v>0</v>
      </c>
      <c r="U67" s="13">
        <v>1.0658220195899999</v>
      </c>
      <c r="V67" s="45">
        <v>0</v>
      </c>
      <c r="W67" s="25">
        <f t="shared" si="4"/>
        <v>1.0352089817200003</v>
      </c>
    </row>
    <row r="68" spans="1:24" x14ac:dyDescent="0.25">
      <c r="A68" s="1">
        <v>11006</v>
      </c>
      <c r="B68" s="1" t="s">
        <v>59</v>
      </c>
      <c r="C68" s="1" t="s">
        <v>40</v>
      </c>
      <c r="D68" s="4">
        <v>21.593636981500001</v>
      </c>
      <c r="E68" s="79" t="s">
        <v>64</v>
      </c>
      <c r="F68" s="74">
        <v>17.3</v>
      </c>
      <c r="G68" s="79"/>
      <c r="H68" s="74"/>
      <c r="I68" s="79"/>
      <c r="J68" s="105"/>
      <c r="K68" s="157">
        <v>0.95115204475799997</v>
      </c>
      <c r="L68" s="54">
        <v>0</v>
      </c>
      <c r="M68" s="110"/>
      <c r="N68" s="65"/>
      <c r="O68" s="127">
        <v>4.2887479070700003</v>
      </c>
      <c r="P68" s="6">
        <v>17.304889084199999</v>
      </c>
      <c r="Q68" s="16">
        <f t="shared" ref="Q68:Q77" si="5">D68-P68</f>
        <v>4.2887478973000022</v>
      </c>
      <c r="R68" s="8">
        <v>0</v>
      </c>
      <c r="S68" s="13">
        <v>0</v>
      </c>
      <c r="T68" s="13">
        <v>12.8203056953</v>
      </c>
      <c r="U68" s="13">
        <v>8.5322766771600005</v>
      </c>
      <c r="V68" s="45">
        <v>0</v>
      </c>
      <c r="W68" s="25">
        <f t="shared" si="4"/>
        <v>0.24105460904000253</v>
      </c>
    </row>
    <row r="69" spans="1:24" x14ac:dyDescent="0.25">
      <c r="A69" s="1">
        <v>11152</v>
      </c>
      <c r="B69" s="1" t="s">
        <v>59</v>
      </c>
      <c r="C69" s="1" t="s">
        <v>41</v>
      </c>
      <c r="D69" s="4">
        <v>44.519219187209998</v>
      </c>
      <c r="E69" s="79" t="s">
        <v>37</v>
      </c>
      <c r="F69" s="74">
        <v>44.519219187209998</v>
      </c>
      <c r="G69" s="78"/>
      <c r="H69" s="77"/>
      <c r="I69" s="77"/>
      <c r="J69" s="109"/>
      <c r="K69" s="157">
        <v>0</v>
      </c>
      <c r="L69" s="54">
        <v>0</v>
      </c>
      <c r="M69" s="110"/>
      <c r="N69" s="65"/>
      <c r="O69" s="173"/>
      <c r="P69" s="6">
        <v>44.519219187200001</v>
      </c>
      <c r="Q69" s="16">
        <f t="shared" si="5"/>
        <v>9.9973362921446096E-12</v>
      </c>
      <c r="R69" s="8">
        <v>0</v>
      </c>
      <c r="S69" s="13">
        <v>35.112571255200002</v>
      </c>
      <c r="T69" s="13">
        <v>0</v>
      </c>
      <c r="U69" s="13">
        <v>0</v>
      </c>
      <c r="V69" s="45">
        <v>0</v>
      </c>
      <c r="W69" s="25">
        <f t="shared" si="4"/>
        <v>9.4066479320099958</v>
      </c>
    </row>
    <row r="70" spans="1:24" x14ac:dyDescent="0.25">
      <c r="A70" s="1">
        <v>11153</v>
      </c>
      <c r="B70" s="1" t="s">
        <v>59</v>
      </c>
      <c r="C70" s="1" t="s">
        <v>41</v>
      </c>
      <c r="D70" s="4">
        <v>24.34340666156</v>
      </c>
      <c r="E70" s="79" t="s">
        <v>65</v>
      </c>
      <c r="F70" s="74">
        <v>24.34340666156</v>
      </c>
      <c r="G70" s="78"/>
      <c r="H70" s="77"/>
      <c r="I70" s="77"/>
      <c r="J70" s="109"/>
      <c r="K70" s="157">
        <v>0</v>
      </c>
      <c r="L70" s="54">
        <v>0</v>
      </c>
      <c r="M70" s="110"/>
      <c r="N70" s="65"/>
      <c r="O70" s="173"/>
      <c r="P70" s="6">
        <v>24.3434066616</v>
      </c>
      <c r="Q70" s="16">
        <f t="shared" si="5"/>
        <v>-4.000000330961484E-11</v>
      </c>
      <c r="R70" s="8">
        <v>0</v>
      </c>
      <c r="S70" s="13">
        <v>7.0443648791199998</v>
      </c>
      <c r="T70" s="13">
        <v>7.35586671105</v>
      </c>
      <c r="U70" s="13">
        <v>2.5564385553700002</v>
      </c>
      <c r="V70" s="45">
        <v>0</v>
      </c>
      <c r="W70" s="25">
        <f t="shared" si="4"/>
        <v>7.3867365160200009</v>
      </c>
    </row>
    <row r="71" spans="1:24" x14ac:dyDescent="0.25">
      <c r="A71" s="1">
        <v>11154</v>
      </c>
      <c r="B71" s="1" t="s">
        <v>59</v>
      </c>
      <c r="C71" s="1" t="s">
        <v>41</v>
      </c>
      <c r="D71" s="4">
        <v>22.453477629769999</v>
      </c>
      <c r="E71" s="79" t="s">
        <v>37</v>
      </c>
      <c r="F71" s="74">
        <v>13.526338721149999</v>
      </c>
      <c r="G71" s="78"/>
      <c r="H71" s="77"/>
      <c r="I71" s="77"/>
      <c r="J71" s="109"/>
      <c r="K71" s="157">
        <v>0</v>
      </c>
      <c r="L71" s="54">
        <v>0</v>
      </c>
      <c r="M71" s="115"/>
      <c r="N71" s="67"/>
      <c r="O71" s="127">
        <v>8.9275368731100002</v>
      </c>
      <c r="P71" s="6">
        <v>13.5263387212</v>
      </c>
      <c r="Q71" s="16">
        <f t="shared" si="5"/>
        <v>8.927138908569999</v>
      </c>
      <c r="R71" s="8">
        <v>0</v>
      </c>
      <c r="S71" s="13">
        <v>16</v>
      </c>
      <c r="T71" s="13">
        <v>2</v>
      </c>
      <c r="U71" s="13">
        <v>0</v>
      </c>
      <c r="V71" s="48">
        <v>4.5</v>
      </c>
      <c r="W71" s="25">
        <f t="shared" si="4"/>
        <v>-4.6522370230000831E-2</v>
      </c>
    </row>
    <row r="72" spans="1:24" x14ac:dyDescent="0.25">
      <c r="A72" s="1">
        <v>11155</v>
      </c>
      <c r="B72" s="1" t="s">
        <v>59</v>
      </c>
      <c r="C72" s="1" t="s">
        <v>41</v>
      </c>
      <c r="D72" s="4">
        <v>7.6021951733700002</v>
      </c>
      <c r="E72" s="79" t="s">
        <v>39</v>
      </c>
      <c r="F72" s="74">
        <v>7.6021951733700002</v>
      </c>
      <c r="G72" s="79"/>
      <c r="H72" s="74"/>
      <c r="I72" s="74"/>
      <c r="J72" s="105"/>
      <c r="K72" s="157">
        <v>7.6021951733600002</v>
      </c>
      <c r="L72" s="54">
        <v>0</v>
      </c>
      <c r="M72" s="110"/>
      <c r="N72" s="65"/>
      <c r="O72" s="173"/>
      <c r="P72" s="6">
        <v>7.6021951733700002</v>
      </c>
      <c r="Q72" s="16">
        <f t="shared" si="5"/>
        <v>0</v>
      </c>
      <c r="R72" s="8">
        <v>0</v>
      </c>
      <c r="S72" s="13">
        <v>7.6021951733700002</v>
      </c>
      <c r="T72" s="13">
        <v>0</v>
      </c>
      <c r="U72" s="13">
        <v>0</v>
      </c>
      <c r="V72" s="45">
        <v>0</v>
      </c>
      <c r="W72" s="25">
        <f t="shared" si="4"/>
        <v>0</v>
      </c>
    </row>
    <row r="73" spans="1:24" x14ac:dyDescent="0.25">
      <c r="A73" s="1">
        <v>11156</v>
      </c>
      <c r="B73" s="1" t="s">
        <v>59</v>
      </c>
      <c r="C73" s="1" t="s">
        <v>41</v>
      </c>
      <c r="D73" s="4">
        <v>24.279770575699999</v>
      </c>
      <c r="E73" s="79" t="s">
        <v>66</v>
      </c>
      <c r="F73" s="74">
        <v>24.279770575699999</v>
      </c>
      <c r="G73" s="79"/>
      <c r="H73" s="74"/>
      <c r="I73" s="74"/>
      <c r="J73" s="105"/>
      <c r="K73" s="157">
        <v>0</v>
      </c>
      <c r="L73" s="54">
        <v>0</v>
      </c>
      <c r="M73" s="115"/>
      <c r="N73" s="67"/>
      <c r="O73" s="130"/>
      <c r="P73" s="6">
        <v>5.8574382744499998</v>
      </c>
      <c r="Q73" s="16">
        <f t="shared" si="5"/>
        <v>18.422332301249998</v>
      </c>
      <c r="R73" s="8">
        <v>0</v>
      </c>
      <c r="S73" s="13">
        <v>9.7429202792900007</v>
      </c>
      <c r="T73" s="13">
        <v>5.6054603371000002</v>
      </c>
      <c r="U73" s="13">
        <v>4.2896376998500001</v>
      </c>
      <c r="V73" s="45">
        <v>0</v>
      </c>
      <c r="W73" s="25">
        <f t="shared" si="4"/>
        <v>4.6417522594599987</v>
      </c>
    </row>
    <row r="74" spans="1:24" x14ac:dyDescent="0.25">
      <c r="A74" s="1">
        <v>11157</v>
      </c>
      <c r="B74" s="1" t="s">
        <v>59</v>
      </c>
      <c r="C74" s="1" t="s">
        <v>41</v>
      </c>
      <c r="D74" s="4">
        <v>40.515059584169997</v>
      </c>
      <c r="E74" s="79" t="s">
        <v>39</v>
      </c>
      <c r="F74" s="74">
        <v>40.515059584169997</v>
      </c>
      <c r="G74" s="78"/>
      <c r="H74" s="77"/>
      <c r="I74" s="77"/>
      <c r="J74" s="109"/>
      <c r="K74" s="157">
        <v>0</v>
      </c>
      <c r="L74" s="54">
        <v>2.6663905944400002</v>
      </c>
      <c r="M74" s="110"/>
      <c r="N74" s="65"/>
      <c r="O74" s="173"/>
      <c r="P74" s="6">
        <v>40.515059584200003</v>
      </c>
      <c r="Q74" s="16">
        <f t="shared" si="5"/>
        <v>-3.0006219731149031E-11</v>
      </c>
      <c r="R74" s="8">
        <v>0</v>
      </c>
      <c r="S74" s="13">
        <v>0</v>
      </c>
      <c r="T74" s="13">
        <v>0</v>
      </c>
      <c r="U74" s="13">
        <v>0</v>
      </c>
      <c r="V74" s="45">
        <v>0</v>
      </c>
      <c r="W74" s="25">
        <f t="shared" si="4"/>
        <v>40.515059584169997</v>
      </c>
    </row>
    <row r="75" spans="1:24" x14ac:dyDescent="0.25">
      <c r="A75" s="1">
        <v>11158</v>
      </c>
      <c r="B75" s="1" t="s">
        <v>59</v>
      </c>
      <c r="C75" s="1" t="s">
        <v>41</v>
      </c>
      <c r="D75" s="4">
        <v>28.433802667910001</v>
      </c>
      <c r="E75" s="79" t="s">
        <v>37</v>
      </c>
      <c r="F75" s="74">
        <v>28.433802667919998</v>
      </c>
      <c r="G75" s="78"/>
      <c r="H75" s="77"/>
      <c r="I75" s="77"/>
      <c r="J75" s="109"/>
      <c r="K75" s="157">
        <v>0</v>
      </c>
      <c r="L75" s="54">
        <v>0</v>
      </c>
      <c r="M75" s="115"/>
      <c r="N75" s="67"/>
      <c r="O75" s="130"/>
      <c r="P75" s="6">
        <v>23.3468316063</v>
      </c>
      <c r="Q75" s="16">
        <f t="shared" si="5"/>
        <v>5.0869710616100008</v>
      </c>
      <c r="R75" s="8">
        <v>0</v>
      </c>
      <c r="S75" s="13">
        <v>4.6237785354199996</v>
      </c>
      <c r="T75" s="13">
        <v>0.16322354063</v>
      </c>
      <c r="U75" s="13">
        <v>21.4091116534</v>
      </c>
      <c r="V75" s="45">
        <v>0</v>
      </c>
      <c r="W75" s="25">
        <f t="shared" si="4"/>
        <v>2.2376889384600034</v>
      </c>
    </row>
    <row r="76" spans="1:24" x14ac:dyDescent="0.25">
      <c r="A76" s="1">
        <v>11159</v>
      </c>
      <c r="B76" s="1" t="s">
        <v>59</v>
      </c>
      <c r="C76" s="1" t="s">
        <v>41</v>
      </c>
      <c r="D76" s="4">
        <v>15.12539239574</v>
      </c>
      <c r="E76" s="79" t="s">
        <v>37</v>
      </c>
      <c r="F76" s="74">
        <v>0.77308272331000005</v>
      </c>
      <c r="G76" s="79" t="s">
        <v>39</v>
      </c>
      <c r="H76" s="74">
        <v>10.199999999999999</v>
      </c>
      <c r="I76" s="79" t="s">
        <v>67</v>
      </c>
      <c r="J76" s="105">
        <v>4.2</v>
      </c>
      <c r="K76" s="157">
        <v>0</v>
      </c>
      <c r="L76" s="54">
        <v>0</v>
      </c>
      <c r="M76" s="115"/>
      <c r="N76" s="67"/>
      <c r="O76" s="130"/>
      <c r="P76" s="6">
        <v>15.1253923957</v>
      </c>
      <c r="Q76" s="16">
        <f t="shared" si="5"/>
        <v>4.000000330961484E-11</v>
      </c>
      <c r="R76" s="8">
        <v>0</v>
      </c>
      <c r="S76" s="13">
        <v>0.88511190574700005</v>
      </c>
      <c r="T76" s="13">
        <v>0.33575412328100002</v>
      </c>
      <c r="U76" s="13">
        <v>3.8164686686699998</v>
      </c>
      <c r="V76" s="45">
        <v>0</v>
      </c>
      <c r="W76" s="25">
        <f t="shared" si="4"/>
        <v>10.088057698042</v>
      </c>
    </row>
    <row r="77" spans="1:24" x14ac:dyDescent="0.25">
      <c r="A77" s="1">
        <v>11163</v>
      </c>
      <c r="B77" s="1" t="s">
        <v>59</v>
      </c>
      <c r="C77" s="1" t="s">
        <v>41</v>
      </c>
      <c r="D77" s="4">
        <v>51.569253563910003</v>
      </c>
      <c r="E77" s="79" t="s">
        <v>37</v>
      </c>
      <c r="F77" s="74">
        <v>51.569253563899998</v>
      </c>
      <c r="G77" s="75"/>
      <c r="H77" s="76"/>
      <c r="I77" s="75"/>
      <c r="J77" s="111"/>
      <c r="K77" s="157">
        <v>13.533980736</v>
      </c>
      <c r="L77" s="54">
        <v>0</v>
      </c>
      <c r="M77" s="115"/>
      <c r="N77" s="67"/>
      <c r="O77" s="130"/>
      <c r="P77" s="6">
        <v>51.569253563899998</v>
      </c>
      <c r="Q77" s="16">
        <f t="shared" si="5"/>
        <v>1.0004441719502211E-11</v>
      </c>
      <c r="R77" s="8">
        <v>36.5074872434</v>
      </c>
      <c r="S77" s="13">
        <v>1.6697859901200001</v>
      </c>
      <c r="T77" s="13">
        <v>0.48405292841600001</v>
      </c>
      <c r="U77" s="13">
        <v>30.153540642500001</v>
      </c>
      <c r="V77" s="45">
        <v>0</v>
      </c>
      <c r="W77" s="25">
        <f t="shared" si="4"/>
        <v>19.261874002874002</v>
      </c>
    </row>
    <row r="78" spans="1:24" s="61" customFormat="1" x14ac:dyDescent="0.25">
      <c r="A78" s="1">
        <v>21793</v>
      </c>
      <c r="B78" s="1" t="s">
        <v>59</v>
      </c>
      <c r="C78" s="1" t="s">
        <v>33</v>
      </c>
      <c r="D78" s="4">
        <v>31.512579826380001</v>
      </c>
      <c r="E78" s="79" t="s">
        <v>34</v>
      </c>
      <c r="F78" s="74">
        <v>31.5125798264</v>
      </c>
      <c r="G78" s="80"/>
      <c r="H78" s="81"/>
      <c r="I78" s="81"/>
      <c r="J78" s="103"/>
      <c r="K78" s="157">
        <v>16.934103539799999</v>
      </c>
      <c r="L78" s="54">
        <v>0</v>
      </c>
      <c r="M78" s="106"/>
      <c r="N78" s="64"/>
      <c r="O78" s="137"/>
      <c r="P78" s="6">
        <v>31.5125798264</v>
      </c>
      <c r="Q78" s="16">
        <f>D78-P78</f>
        <v>-1.999822529796802E-11</v>
      </c>
      <c r="R78" s="8">
        <v>6.1604871111100001</v>
      </c>
      <c r="S78" s="13">
        <v>0</v>
      </c>
      <c r="T78" s="13">
        <v>0</v>
      </c>
      <c r="U78" s="13">
        <v>9.2886566822599992</v>
      </c>
      <c r="V78" s="45">
        <v>0</v>
      </c>
      <c r="W78" s="25">
        <f t="shared" si="4"/>
        <v>22.22392314412</v>
      </c>
    </row>
    <row r="79" spans="1:24" s="44" customFormat="1" x14ac:dyDescent="0.25">
      <c r="A79" s="59" t="s">
        <v>52</v>
      </c>
      <c r="B79" s="59" t="s">
        <v>59</v>
      </c>
      <c r="C79" s="59"/>
      <c r="D79" s="83">
        <f>SUM(D43:D77)</f>
        <v>939.18827258834006</v>
      </c>
      <c r="E79" s="83"/>
      <c r="F79" s="83">
        <f t="shared" ref="F79:Q79" si="6">SUM(F43:F77)</f>
        <v>807.2724763719599</v>
      </c>
      <c r="G79" s="83"/>
      <c r="H79" s="83">
        <f t="shared" si="6"/>
        <v>55.359758763679991</v>
      </c>
      <c r="I79" s="83"/>
      <c r="J79" s="83">
        <f t="shared" si="6"/>
        <v>4.2</v>
      </c>
      <c r="K79" s="83">
        <f>SUM(K43:K78)</f>
        <v>104.01632918689901</v>
      </c>
      <c r="L79" s="83">
        <f t="shared" si="6"/>
        <v>130.02387682685998</v>
      </c>
      <c r="M79" s="83"/>
      <c r="N79" s="83">
        <f t="shared" si="6"/>
        <v>0</v>
      </c>
      <c r="O79" s="83">
        <f t="shared" si="6"/>
        <v>72.437476138424302</v>
      </c>
      <c r="P79" s="57">
        <f t="shared" si="6"/>
        <v>759.70268182772031</v>
      </c>
      <c r="Q79" s="98">
        <f t="shared" si="6"/>
        <v>179.48559076061977</v>
      </c>
      <c r="R79" s="83">
        <f t="shared" ref="R79:W79" si="7">SUM(R43:R77)</f>
        <v>254.70700102808999</v>
      </c>
      <c r="S79" s="83">
        <f t="shared" si="7"/>
        <v>271.42574739669703</v>
      </c>
      <c r="T79" s="83">
        <f t="shared" si="7"/>
        <v>114.08920776634902</v>
      </c>
      <c r="U79" s="83">
        <f t="shared" si="7"/>
        <v>135.47502933075583</v>
      </c>
      <c r="V79" s="83">
        <f t="shared" si="7"/>
        <v>4.5</v>
      </c>
      <c r="W79" s="83">
        <f t="shared" si="7"/>
        <v>413.69828809453816</v>
      </c>
      <c r="X79" s="83"/>
    </row>
    <row r="80" spans="1:24" x14ac:dyDescent="0.25">
      <c r="A80" s="42"/>
      <c r="B80" s="42"/>
      <c r="C80" s="42"/>
      <c r="D80" s="84"/>
      <c r="E80" s="75"/>
      <c r="F80" s="76"/>
      <c r="G80" s="78"/>
      <c r="H80" s="77"/>
      <c r="I80" s="77"/>
      <c r="J80" s="109"/>
      <c r="K80" s="126"/>
      <c r="L80" s="116"/>
      <c r="M80" s="115"/>
      <c r="N80" s="67"/>
      <c r="O80" s="130"/>
      <c r="P80" s="6"/>
      <c r="Q80" s="146"/>
      <c r="R80" s="93"/>
      <c r="S80" s="13"/>
      <c r="T80" s="90"/>
      <c r="U80" s="90"/>
      <c r="V80" s="91"/>
      <c r="W80" s="25"/>
    </row>
    <row r="81" spans="1:23" x14ac:dyDescent="0.25">
      <c r="A81" s="42"/>
      <c r="B81" s="42"/>
      <c r="C81" s="42"/>
      <c r="D81" s="84"/>
      <c r="E81" s="75"/>
      <c r="F81" s="76"/>
      <c r="G81" s="78"/>
      <c r="H81" s="77"/>
      <c r="I81" s="77"/>
      <c r="J81" s="109"/>
      <c r="K81" s="126"/>
      <c r="L81" s="116"/>
      <c r="M81" s="115"/>
      <c r="N81" s="67"/>
      <c r="O81" s="130"/>
      <c r="P81" s="6"/>
      <c r="Q81" s="16"/>
      <c r="R81" s="9"/>
      <c r="S81" s="97"/>
      <c r="T81" s="90"/>
      <c r="U81" s="90"/>
      <c r="V81" s="91"/>
      <c r="W81" s="25"/>
    </row>
    <row r="82" spans="1:23" x14ac:dyDescent="0.25">
      <c r="A82" s="42"/>
      <c r="B82" s="42"/>
      <c r="C82" s="42"/>
      <c r="D82" s="84"/>
      <c r="E82" s="75"/>
      <c r="F82" s="76"/>
      <c r="G82" s="79"/>
      <c r="H82" s="74"/>
      <c r="I82" s="74"/>
      <c r="J82" s="105"/>
      <c r="K82" s="126"/>
      <c r="L82" s="117"/>
      <c r="M82" s="115"/>
      <c r="N82" s="67"/>
      <c r="O82" s="130"/>
      <c r="P82" s="6"/>
      <c r="Q82" s="146"/>
      <c r="R82" s="8"/>
      <c r="S82" s="97"/>
      <c r="T82" s="90"/>
      <c r="U82" s="90"/>
      <c r="V82" s="91"/>
      <c r="W82" s="25"/>
    </row>
    <row r="83" spans="1:23" x14ac:dyDescent="0.25">
      <c r="A83" s="42"/>
      <c r="B83" s="42"/>
      <c r="C83" s="42"/>
      <c r="D83" s="84"/>
      <c r="E83" s="75"/>
      <c r="F83" s="76"/>
      <c r="G83" s="79"/>
      <c r="H83" s="74"/>
      <c r="I83" s="74"/>
      <c r="J83" s="105"/>
      <c r="K83" s="126"/>
      <c r="L83" s="117"/>
      <c r="M83" s="115"/>
      <c r="N83" s="67"/>
      <c r="O83" s="130"/>
      <c r="P83" s="6"/>
      <c r="Q83" s="16"/>
      <c r="R83" s="8"/>
      <c r="S83" s="13"/>
      <c r="T83" s="90"/>
      <c r="U83" s="90"/>
      <c r="V83" s="91"/>
      <c r="W83" s="25"/>
    </row>
    <row r="84" spans="1:23" x14ac:dyDescent="0.25">
      <c r="A84" s="42"/>
      <c r="B84" s="42"/>
      <c r="C84" s="42"/>
      <c r="D84" s="84"/>
      <c r="E84" s="75"/>
      <c r="F84" s="76"/>
      <c r="G84" s="78"/>
      <c r="H84" s="77"/>
      <c r="I84" s="77"/>
      <c r="J84" s="109"/>
      <c r="K84" s="126"/>
      <c r="L84" s="116"/>
      <c r="M84" s="110"/>
      <c r="N84" s="65"/>
      <c r="O84" s="173"/>
      <c r="P84" s="6"/>
      <c r="Q84" s="16"/>
      <c r="R84" s="8"/>
      <c r="S84" s="97"/>
      <c r="T84" s="90"/>
      <c r="U84" s="90"/>
      <c r="V84" s="91"/>
      <c r="W84" s="25"/>
    </row>
    <row r="85" spans="1:23" x14ac:dyDescent="0.25">
      <c r="A85" s="42"/>
      <c r="B85" s="42"/>
      <c r="C85" s="42"/>
      <c r="D85" s="84"/>
      <c r="G85" s="78"/>
      <c r="H85" s="77"/>
      <c r="I85" s="77"/>
      <c r="J85" s="109"/>
      <c r="K85" s="126"/>
      <c r="L85" s="116"/>
      <c r="M85" s="115"/>
      <c r="N85" s="67"/>
      <c r="O85" s="173"/>
      <c r="P85" s="6"/>
      <c r="Q85" s="146"/>
      <c r="R85" s="8"/>
      <c r="S85" s="97"/>
      <c r="T85" s="90"/>
      <c r="U85" s="90"/>
      <c r="V85" s="91"/>
      <c r="W85" s="25"/>
    </row>
    <row r="86" spans="1:23" x14ac:dyDescent="0.25">
      <c r="A86" s="42"/>
      <c r="B86" s="42"/>
      <c r="C86" s="42"/>
      <c r="D86" s="84"/>
      <c r="E86" s="75"/>
      <c r="F86" s="76"/>
      <c r="G86" s="78"/>
      <c r="H86" s="77"/>
      <c r="I86" s="77"/>
      <c r="J86" s="109"/>
      <c r="K86" s="126"/>
      <c r="L86" s="116"/>
      <c r="M86" s="110"/>
      <c r="N86" s="65"/>
      <c r="O86" s="173"/>
      <c r="P86" s="6"/>
      <c r="Q86" s="16"/>
      <c r="R86" s="93"/>
      <c r="S86" s="97"/>
      <c r="T86" s="90"/>
      <c r="U86" s="90"/>
      <c r="V86" s="91"/>
      <c r="W86" s="25"/>
    </row>
    <row r="87" spans="1:23" x14ac:dyDescent="0.25">
      <c r="A87" s="42"/>
      <c r="B87" s="42"/>
      <c r="C87" s="42"/>
      <c r="D87" s="84"/>
      <c r="G87" s="78"/>
      <c r="H87" s="77"/>
      <c r="I87" s="77"/>
      <c r="J87" s="109"/>
      <c r="K87" s="126"/>
      <c r="L87" s="116"/>
      <c r="M87" s="110"/>
      <c r="N87" s="65"/>
      <c r="O87" s="173"/>
      <c r="P87" s="6"/>
      <c r="Q87" s="146"/>
      <c r="R87" s="93"/>
      <c r="S87" s="97"/>
      <c r="T87" s="90"/>
      <c r="U87" s="90"/>
      <c r="V87" s="91"/>
      <c r="W87" s="25"/>
    </row>
    <row r="88" spans="1:23" x14ac:dyDescent="0.25">
      <c r="A88" s="42"/>
      <c r="B88" s="42"/>
      <c r="C88" s="42"/>
      <c r="D88" s="84"/>
      <c r="G88" s="78"/>
      <c r="H88" s="77"/>
      <c r="I88" s="77"/>
      <c r="J88" s="109"/>
      <c r="K88" s="126"/>
      <c r="L88" s="116"/>
      <c r="M88" s="115"/>
      <c r="N88" s="67"/>
      <c r="O88" s="130"/>
      <c r="P88" s="6"/>
      <c r="Q88" s="16"/>
      <c r="R88" s="9"/>
      <c r="S88" s="13"/>
      <c r="T88" s="90"/>
      <c r="U88" s="90"/>
      <c r="V88" s="91"/>
      <c r="W88" s="25"/>
    </row>
    <row r="89" spans="1:23" x14ac:dyDescent="0.25">
      <c r="A89" s="42"/>
      <c r="B89" s="42"/>
      <c r="C89" s="42"/>
      <c r="D89" s="84"/>
      <c r="E89" s="75"/>
      <c r="F89" s="76"/>
      <c r="G89" s="78"/>
      <c r="H89" s="77"/>
      <c r="I89" s="77"/>
      <c r="J89" s="109"/>
      <c r="K89" s="126"/>
      <c r="L89" s="116"/>
      <c r="M89" s="115"/>
      <c r="N89" s="67"/>
      <c r="O89" s="130"/>
      <c r="P89" s="6"/>
      <c r="Q89" s="16"/>
      <c r="R89" s="8"/>
      <c r="S89" s="97"/>
      <c r="T89" s="90"/>
      <c r="U89" s="90"/>
      <c r="V89" s="91"/>
      <c r="W89" s="25"/>
    </row>
    <row r="90" spans="1:23" x14ac:dyDescent="0.25">
      <c r="A90" s="42"/>
      <c r="B90" s="42"/>
      <c r="C90" s="42"/>
      <c r="D90" s="84"/>
      <c r="E90" s="75"/>
      <c r="F90" s="76"/>
      <c r="G90" s="78"/>
      <c r="H90" s="77"/>
      <c r="I90" s="77"/>
      <c r="J90" s="109"/>
      <c r="K90" s="126"/>
      <c r="L90" s="116"/>
      <c r="M90" s="115"/>
      <c r="N90" s="67"/>
      <c r="O90" s="130"/>
      <c r="P90" s="6"/>
      <c r="Q90" s="16"/>
      <c r="R90" s="9"/>
      <c r="S90" s="13"/>
      <c r="T90" s="90"/>
      <c r="U90" s="90"/>
      <c r="V90" s="91"/>
      <c r="W90" s="25"/>
    </row>
    <row r="91" spans="1:23" x14ac:dyDescent="0.25">
      <c r="A91" s="42"/>
      <c r="B91" s="42"/>
      <c r="C91" s="42"/>
      <c r="D91" s="84"/>
      <c r="E91" s="75"/>
      <c r="F91" s="76"/>
      <c r="G91" s="79"/>
      <c r="H91" s="74"/>
      <c r="I91" s="74"/>
      <c r="J91" s="105"/>
      <c r="K91" s="126"/>
      <c r="L91" s="117"/>
      <c r="M91" s="115"/>
      <c r="N91" s="67"/>
      <c r="O91" s="130"/>
      <c r="P91" s="6"/>
      <c r="Q91" s="16"/>
      <c r="R91" s="93"/>
      <c r="S91" s="13"/>
      <c r="T91" s="90"/>
      <c r="U91" s="90"/>
      <c r="V91" s="91"/>
      <c r="W91" s="25"/>
    </row>
    <row r="92" spans="1:23" x14ac:dyDescent="0.25">
      <c r="A92" s="42"/>
      <c r="B92" s="42"/>
      <c r="C92" s="42"/>
      <c r="D92" s="84"/>
      <c r="E92" s="75"/>
      <c r="F92" s="76"/>
      <c r="G92" s="78"/>
      <c r="H92" s="77"/>
      <c r="I92" s="77"/>
      <c r="J92" s="109"/>
      <c r="K92" s="126"/>
      <c r="L92" s="116"/>
      <c r="M92" s="115"/>
      <c r="N92" s="67"/>
      <c r="O92" s="130"/>
      <c r="P92" s="6"/>
      <c r="Q92" s="16"/>
      <c r="R92" s="8"/>
      <c r="S92" s="97"/>
      <c r="T92" s="90"/>
      <c r="U92" s="90"/>
      <c r="V92" s="91"/>
      <c r="W92" s="25"/>
    </row>
    <row r="93" spans="1:23" x14ac:dyDescent="0.25">
      <c r="A93" s="42"/>
      <c r="B93" s="42"/>
      <c r="C93" s="42"/>
      <c r="D93" s="84"/>
      <c r="E93" s="75"/>
      <c r="F93" s="76"/>
      <c r="G93" s="78"/>
      <c r="H93" s="77"/>
      <c r="I93" s="77"/>
      <c r="J93" s="109"/>
      <c r="K93" s="126"/>
      <c r="L93" s="116"/>
      <c r="M93" s="115"/>
      <c r="N93" s="67"/>
      <c r="O93" s="130"/>
      <c r="P93" s="6"/>
      <c r="Q93" s="16"/>
      <c r="R93" s="8"/>
      <c r="S93" s="13"/>
      <c r="T93" s="90"/>
      <c r="U93" s="90"/>
      <c r="V93" s="91"/>
      <c r="W93" s="25"/>
    </row>
    <row r="94" spans="1:23" x14ac:dyDescent="0.25">
      <c r="A94" s="42"/>
      <c r="B94" s="42"/>
      <c r="C94" s="42"/>
      <c r="D94" s="84"/>
      <c r="E94" s="75"/>
      <c r="F94" s="76"/>
      <c r="G94" s="78"/>
      <c r="H94" s="77"/>
      <c r="I94" s="77"/>
      <c r="J94" s="109"/>
      <c r="K94" s="126"/>
      <c r="L94" s="116"/>
      <c r="M94" s="115"/>
      <c r="N94" s="67"/>
      <c r="O94" s="130"/>
      <c r="P94" s="6"/>
      <c r="Q94" s="16"/>
      <c r="R94" s="9"/>
      <c r="S94" s="97"/>
      <c r="T94" s="90"/>
      <c r="U94" s="90"/>
      <c r="V94" s="91"/>
      <c r="W94" s="25"/>
    </row>
    <row r="95" spans="1:23" x14ac:dyDescent="0.25">
      <c r="A95" s="42"/>
      <c r="B95" s="42"/>
      <c r="C95" s="42"/>
      <c r="D95" s="84"/>
      <c r="E95" s="75"/>
      <c r="F95" s="76"/>
      <c r="G95" s="78"/>
      <c r="H95" s="77"/>
      <c r="I95" s="77"/>
      <c r="J95" s="109"/>
      <c r="K95" s="126"/>
      <c r="L95" s="116"/>
      <c r="M95" s="115"/>
      <c r="N95" s="67"/>
      <c r="O95" s="130"/>
      <c r="P95" s="6"/>
      <c r="Q95" s="16"/>
      <c r="R95" s="8"/>
      <c r="S95" s="13"/>
      <c r="T95" s="90"/>
      <c r="U95" s="90"/>
      <c r="V95" s="91"/>
      <c r="W95" s="25"/>
    </row>
    <row r="96" spans="1:23" x14ac:dyDescent="0.25">
      <c r="A96" s="42"/>
      <c r="B96" s="42"/>
      <c r="C96" s="42"/>
      <c r="D96" s="84"/>
      <c r="E96" s="75"/>
      <c r="F96" s="76"/>
      <c r="G96" s="78"/>
      <c r="H96" s="77"/>
      <c r="I96" s="77"/>
      <c r="J96" s="109"/>
      <c r="K96" s="126"/>
      <c r="L96" s="116"/>
      <c r="M96" s="115"/>
      <c r="N96" s="67"/>
      <c r="O96" s="130"/>
      <c r="P96" s="6"/>
      <c r="Q96" s="16"/>
      <c r="R96" s="9"/>
      <c r="S96" s="13"/>
      <c r="T96" s="90"/>
      <c r="U96" s="90"/>
      <c r="V96" s="91"/>
      <c r="W96" s="25"/>
    </row>
    <row r="97" spans="1:23" x14ac:dyDescent="0.25">
      <c r="A97" s="42"/>
      <c r="B97" s="42"/>
      <c r="C97" s="42"/>
      <c r="D97" s="84"/>
      <c r="E97" s="75"/>
      <c r="F97" s="76"/>
      <c r="G97" s="78"/>
      <c r="H97" s="77"/>
      <c r="I97" s="77"/>
      <c r="J97" s="109"/>
      <c r="K97" s="126"/>
      <c r="L97" s="116"/>
      <c r="M97" s="110"/>
      <c r="N97" s="65"/>
      <c r="O97" s="173"/>
      <c r="P97" s="6"/>
      <c r="Q97" s="16"/>
      <c r="R97" s="93"/>
      <c r="S97" s="97"/>
      <c r="T97" s="90"/>
      <c r="U97" s="90"/>
      <c r="V97" s="91"/>
      <c r="W97" s="25"/>
    </row>
    <row r="98" spans="1:23" x14ac:dyDescent="0.25">
      <c r="A98" s="42"/>
      <c r="B98" s="42"/>
      <c r="C98" s="42"/>
      <c r="D98" s="84"/>
      <c r="E98" s="79"/>
      <c r="F98" s="74"/>
      <c r="G98" s="79"/>
      <c r="H98" s="74"/>
      <c r="I98" s="74"/>
      <c r="J98" s="105"/>
      <c r="K98" s="126"/>
      <c r="L98" s="117"/>
      <c r="M98" s="115"/>
      <c r="N98" s="67"/>
      <c r="O98" s="130"/>
      <c r="P98" s="6"/>
      <c r="Q98" s="16"/>
      <c r="R98" s="8"/>
      <c r="S98" s="97"/>
      <c r="T98" s="90"/>
      <c r="U98" s="90"/>
      <c r="V98" s="91"/>
      <c r="W98" s="25"/>
    </row>
    <row r="99" spans="1:23" x14ac:dyDescent="0.25">
      <c r="A99" s="42"/>
      <c r="B99" s="42"/>
      <c r="C99" s="42"/>
      <c r="D99" s="84"/>
      <c r="E99" s="75"/>
      <c r="F99" s="76"/>
      <c r="G99" s="78"/>
      <c r="H99" s="77"/>
      <c r="I99" s="77"/>
      <c r="J99" s="109"/>
      <c r="K99" s="126"/>
      <c r="L99" s="116"/>
      <c r="M99" s="115"/>
      <c r="N99" s="67"/>
      <c r="O99" s="130"/>
      <c r="P99" s="6"/>
      <c r="Q99" s="146"/>
      <c r="R99" s="8"/>
      <c r="S99" s="13"/>
      <c r="T99" s="90"/>
      <c r="U99" s="90"/>
      <c r="V99" s="91"/>
      <c r="W99" s="25"/>
    </row>
    <row r="100" spans="1:23" x14ac:dyDescent="0.25">
      <c r="A100" s="42"/>
      <c r="B100" s="42"/>
      <c r="C100" s="42"/>
      <c r="D100" s="84"/>
      <c r="E100" s="75"/>
      <c r="F100" s="76"/>
      <c r="G100" s="78"/>
      <c r="H100" s="77"/>
      <c r="I100" s="77"/>
      <c r="J100" s="109"/>
      <c r="K100" s="126"/>
      <c r="L100" s="116"/>
      <c r="M100" s="110"/>
      <c r="N100" s="65"/>
      <c r="O100" s="173"/>
      <c r="P100" s="6"/>
      <c r="Q100" s="16"/>
      <c r="R100" s="8"/>
      <c r="S100" s="13"/>
      <c r="T100" s="90"/>
      <c r="U100" s="90"/>
      <c r="V100" s="91"/>
      <c r="W100" s="25"/>
    </row>
    <row r="101" spans="1:23" x14ac:dyDescent="0.25">
      <c r="A101" s="42"/>
      <c r="B101" s="42"/>
      <c r="C101" s="42"/>
      <c r="D101" s="84"/>
      <c r="E101" s="79"/>
      <c r="F101" s="74"/>
      <c r="G101" s="78"/>
      <c r="H101" s="77"/>
      <c r="I101" s="77"/>
      <c r="J101" s="109"/>
      <c r="K101" s="126"/>
      <c r="L101" s="116"/>
      <c r="M101" s="110"/>
      <c r="N101" s="65"/>
      <c r="O101" s="173"/>
      <c r="P101" s="6"/>
      <c r="Q101" s="16"/>
      <c r="R101" s="93"/>
      <c r="S101" s="97"/>
      <c r="T101" s="90"/>
      <c r="U101" s="90"/>
      <c r="V101" s="91"/>
      <c r="W101" s="25"/>
    </row>
    <row r="102" spans="1:23" x14ac:dyDescent="0.25">
      <c r="A102" s="42"/>
      <c r="B102" s="42"/>
      <c r="C102" s="42"/>
      <c r="D102" s="84"/>
      <c r="E102" s="79"/>
      <c r="F102" s="74"/>
      <c r="G102" s="78"/>
      <c r="H102" s="77"/>
      <c r="I102" s="77"/>
      <c r="J102" s="109"/>
      <c r="K102" s="126"/>
      <c r="L102" s="116"/>
      <c r="M102" s="110"/>
      <c r="N102" s="65"/>
      <c r="O102" s="173"/>
      <c r="P102" s="6"/>
      <c r="Q102" s="16"/>
      <c r="R102" s="8"/>
      <c r="S102" s="97"/>
      <c r="T102" s="90"/>
      <c r="U102" s="90"/>
      <c r="V102" s="91"/>
      <c r="W102" s="25"/>
    </row>
    <row r="103" spans="1:23" x14ac:dyDescent="0.25">
      <c r="A103" s="42"/>
      <c r="B103" s="42"/>
      <c r="C103" s="42"/>
      <c r="D103" s="84"/>
      <c r="E103" s="79"/>
      <c r="F103" s="74"/>
      <c r="G103" s="78"/>
      <c r="H103" s="77"/>
      <c r="I103" s="77"/>
      <c r="J103" s="109"/>
      <c r="K103" s="126"/>
      <c r="L103" s="116"/>
      <c r="M103" s="110"/>
      <c r="N103" s="65"/>
      <c r="O103" s="173"/>
      <c r="P103" s="6"/>
      <c r="Q103" s="16"/>
      <c r="R103" s="8"/>
      <c r="S103" s="97"/>
      <c r="T103" s="90"/>
      <c r="U103" s="90"/>
      <c r="V103" s="91"/>
      <c r="W103" s="25"/>
    </row>
    <row r="104" spans="1:23" x14ac:dyDescent="0.25">
      <c r="A104" s="42"/>
      <c r="B104" s="42"/>
      <c r="C104" s="42"/>
      <c r="D104" s="84"/>
      <c r="E104" s="79"/>
      <c r="F104" s="74"/>
      <c r="G104" s="78"/>
      <c r="H104" s="77"/>
      <c r="I104" s="77"/>
      <c r="J104" s="109"/>
      <c r="K104" s="126"/>
      <c r="L104" s="116"/>
      <c r="M104" s="110"/>
      <c r="N104" s="65"/>
      <c r="O104" s="173"/>
      <c r="P104" s="6"/>
      <c r="Q104" s="16"/>
      <c r="R104" s="8"/>
      <c r="S104" s="13"/>
      <c r="T104" s="90"/>
      <c r="U104" s="90"/>
      <c r="V104" s="91"/>
      <c r="W104" s="25"/>
    </row>
    <row r="105" spans="1:23" x14ac:dyDescent="0.25">
      <c r="A105" s="42"/>
      <c r="B105" s="42"/>
      <c r="C105" s="42"/>
      <c r="D105" s="84"/>
      <c r="E105" s="79"/>
      <c r="F105" s="74"/>
      <c r="G105" s="78"/>
      <c r="H105" s="77"/>
      <c r="I105" s="77"/>
      <c r="J105" s="109"/>
      <c r="K105" s="126"/>
      <c r="L105" s="116"/>
      <c r="M105" s="115"/>
      <c r="N105" s="67"/>
      <c r="O105" s="130"/>
      <c r="P105" s="6"/>
      <c r="Q105" s="146"/>
      <c r="R105" s="8"/>
      <c r="S105" s="13"/>
      <c r="T105" s="90"/>
      <c r="U105" s="90"/>
      <c r="V105" s="91"/>
      <c r="W105" s="25"/>
    </row>
    <row r="106" spans="1:23" x14ac:dyDescent="0.25">
      <c r="A106" s="42"/>
      <c r="B106" s="42"/>
      <c r="C106" s="42"/>
      <c r="D106" s="84"/>
      <c r="E106" s="75"/>
      <c r="F106" s="76"/>
      <c r="G106" s="78"/>
      <c r="H106" s="77"/>
      <c r="I106" s="77"/>
      <c r="J106" s="109"/>
      <c r="K106" s="126"/>
      <c r="L106" s="116"/>
      <c r="M106" s="110"/>
      <c r="N106" s="65"/>
      <c r="O106" s="173"/>
      <c r="P106" s="6"/>
      <c r="Q106" s="16"/>
      <c r="R106" s="8"/>
      <c r="S106" s="97"/>
      <c r="T106" s="90"/>
      <c r="U106" s="90"/>
      <c r="V106" s="91"/>
      <c r="W106" s="25"/>
    </row>
    <row r="107" spans="1:23" x14ac:dyDescent="0.25">
      <c r="A107" s="42"/>
      <c r="B107" s="42"/>
      <c r="C107" s="42"/>
      <c r="D107" s="84"/>
      <c r="E107" s="79"/>
      <c r="F107" s="74"/>
      <c r="G107" s="78"/>
      <c r="H107" s="77"/>
      <c r="I107" s="77"/>
      <c r="J107" s="109"/>
      <c r="K107" s="126"/>
      <c r="L107" s="116"/>
      <c r="M107" s="115"/>
      <c r="N107" s="67"/>
      <c r="O107" s="130"/>
      <c r="P107" s="6"/>
      <c r="Q107" s="146"/>
      <c r="R107" s="8"/>
      <c r="S107" s="13"/>
      <c r="T107" s="90"/>
      <c r="U107" s="90"/>
      <c r="V107" s="91"/>
      <c r="W107" s="25"/>
    </row>
    <row r="108" spans="1:23" x14ac:dyDescent="0.25">
      <c r="A108" s="42"/>
      <c r="B108" s="42"/>
      <c r="C108" s="42"/>
      <c r="D108" s="84"/>
      <c r="E108" s="75"/>
      <c r="F108" s="76"/>
      <c r="G108" s="79"/>
      <c r="H108" s="74"/>
      <c r="I108" s="74"/>
      <c r="J108" s="105"/>
      <c r="K108" s="126"/>
      <c r="L108" s="117"/>
      <c r="M108" s="115"/>
      <c r="N108" s="67"/>
      <c r="O108" s="130"/>
      <c r="P108" s="6"/>
      <c r="Q108" s="146"/>
      <c r="R108" s="9"/>
      <c r="S108" s="97"/>
      <c r="T108" s="90"/>
      <c r="U108" s="90"/>
      <c r="V108" s="91"/>
      <c r="W108" s="25"/>
    </row>
    <row r="109" spans="1:23" x14ac:dyDescent="0.25">
      <c r="A109" s="42"/>
      <c r="B109" s="42"/>
      <c r="C109" s="42"/>
      <c r="D109" s="84"/>
      <c r="E109" s="75"/>
      <c r="F109" s="76"/>
      <c r="G109" s="79"/>
      <c r="H109" s="74"/>
      <c r="I109" s="74"/>
      <c r="J109" s="105"/>
      <c r="K109" s="126"/>
      <c r="L109" s="117"/>
      <c r="M109" s="115"/>
      <c r="N109" s="67"/>
      <c r="O109" s="130"/>
      <c r="P109" s="6"/>
      <c r="Q109" s="16"/>
      <c r="R109" s="8"/>
      <c r="S109" s="13"/>
      <c r="T109" s="90"/>
      <c r="U109" s="90"/>
      <c r="V109" s="91"/>
      <c r="W109" s="25"/>
    </row>
    <row r="110" spans="1:23" x14ac:dyDescent="0.25">
      <c r="A110" s="42"/>
      <c r="B110" s="42"/>
      <c r="C110" s="42"/>
      <c r="D110" s="84"/>
      <c r="E110" s="75"/>
      <c r="F110" s="76"/>
      <c r="G110" s="79"/>
      <c r="H110" s="74"/>
      <c r="I110" s="74"/>
      <c r="J110" s="105"/>
      <c r="K110" s="126"/>
      <c r="L110" s="117"/>
      <c r="M110" s="115"/>
      <c r="N110" s="67"/>
      <c r="O110" s="130"/>
      <c r="P110" s="6"/>
      <c r="Q110" s="16"/>
      <c r="R110" s="8"/>
      <c r="S110" s="97"/>
      <c r="T110" s="90"/>
      <c r="U110" s="90"/>
      <c r="V110" s="91"/>
      <c r="W110" s="25"/>
    </row>
    <row r="111" spans="1:23" x14ac:dyDescent="0.25">
      <c r="A111" s="42"/>
      <c r="B111" s="42"/>
      <c r="C111" s="42"/>
      <c r="D111" s="84"/>
      <c r="E111" s="75"/>
      <c r="F111" s="76"/>
      <c r="G111" s="78"/>
      <c r="H111" s="77"/>
      <c r="I111" s="77"/>
      <c r="J111" s="109"/>
      <c r="K111" s="126"/>
      <c r="L111" s="116"/>
      <c r="M111" s="110"/>
      <c r="N111" s="65"/>
      <c r="O111" s="173"/>
      <c r="P111" s="6"/>
      <c r="Q111" s="16"/>
      <c r="R111" s="93"/>
      <c r="S111" s="97"/>
      <c r="T111" s="90"/>
      <c r="U111" s="90"/>
      <c r="V111" s="91"/>
      <c r="W111" s="25"/>
    </row>
    <row r="112" spans="1:23" x14ac:dyDescent="0.25">
      <c r="A112" s="42"/>
      <c r="B112" s="42"/>
      <c r="C112" s="42"/>
      <c r="D112" s="84"/>
      <c r="E112" s="79"/>
      <c r="F112" s="74"/>
      <c r="G112" s="73"/>
      <c r="H112" s="77"/>
      <c r="I112" s="77"/>
      <c r="J112" s="109"/>
      <c r="K112" s="126"/>
      <c r="L112" s="116"/>
      <c r="M112" s="110"/>
      <c r="N112" s="65"/>
      <c r="O112" s="173"/>
      <c r="P112" s="6"/>
      <c r="Q112" s="146"/>
      <c r="R112" s="8"/>
      <c r="S112" s="97"/>
      <c r="T112" s="90"/>
      <c r="U112" s="90"/>
      <c r="V112" s="91"/>
      <c r="W112" s="25"/>
    </row>
    <row r="113" spans="1:23" x14ac:dyDescent="0.25">
      <c r="A113" s="42"/>
      <c r="B113" s="42"/>
      <c r="C113" s="42"/>
      <c r="D113" s="84"/>
      <c r="E113" s="79"/>
      <c r="F113" s="74"/>
      <c r="G113" s="79"/>
      <c r="H113" s="74"/>
      <c r="I113" s="74"/>
      <c r="J113" s="105"/>
      <c r="K113" s="126"/>
      <c r="L113" s="117"/>
      <c r="M113" s="110"/>
      <c r="N113" s="65"/>
      <c r="O113" s="173"/>
      <c r="P113" s="6"/>
      <c r="Q113" s="146"/>
      <c r="R113" s="9"/>
      <c r="S113" s="97"/>
      <c r="T113" s="90"/>
      <c r="U113" s="90"/>
      <c r="V113" s="91"/>
      <c r="W113" s="25"/>
    </row>
    <row r="114" spans="1:23" x14ac:dyDescent="0.25">
      <c r="A114" s="42"/>
      <c r="B114" s="42"/>
      <c r="C114" s="42"/>
      <c r="D114" s="84"/>
      <c r="E114" s="79"/>
      <c r="F114" s="74"/>
      <c r="G114" s="73"/>
      <c r="H114" s="77"/>
      <c r="I114" s="77"/>
      <c r="J114" s="109"/>
      <c r="K114" s="126"/>
      <c r="L114" s="116"/>
      <c r="M114" s="110"/>
      <c r="N114" s="65"/>
      <c r="O114" s="173"/>
      <c r="P114" s="6"/>
      <c r="Q114" s="146"/>
      <c r="R114" s="9"/>
      <c r="S114" s="97"/>
      <c r="T114" s="90"/>
      <c r="U114" s="90"/>
      <c r="V114" s="91"/>
      <c r="W114" s="25"/>
    </row>
    <row r="115" spans="1:23" x14ac:dyDescent="0.25">
      <c r="A115" s="42"/>
      <c r="B115" s="42"/>
      <c r="C115" s="42"/>
      <c r="D115" s="84"/>
      <c r="E115" s="79"/>
      <c r="F115" s="74"/>
      <c r="G115" s="75"/>
      <c r="H115" s="76"/>
      <c r="I115" s="77"/>
      <c r="J115" s="109"/>
      <c r="K115" s="126"/>
      <c r="L115" s="116"/>
      <c r="M115" s="110"/>
      <c r="N115" s="65"/>
      <c r="O115" s="173"/>
      <c r="P115" s="6"/>
      <c r="Q115" s="146"/>
      <c r="R115" s="9"/>
      <c r="S115" s="97"/>
      <c r="T115" s="90"/>
      <c r="U115" s="90"/>
      <c r="V115" s="91"/>
      <c r="W115" s="25"/>
    </row>
    <row r="116" spans="1:23" x14ac:dyDescent="0.25">
      <c r="A116" s="42"/>
      <c r="B116" s="42"/>
      <c r="C116" s="42"/>
      <c r="D116" s="84"/>
      <c r="E116" s="75"/>
      <c r="F116" s="76"/>
      <c r="G116" s="79"/>
      <c r="H116" s="74"/>
      <c r="I116" s="74"/>
      <c r="J116" s="105"/>
      <c r="K116" s="126"/>
      <c r="L116" s="117"/>
      <c r="M116" s="110"/>
      <c r="N116" s="65"/>
      <c r="O116" s="173"/>
      <c r="P116" s="6"/>
      <c r="Q116" s="146"/>
      <c r="R116" s="8"/>
      <c r="S116" s="97"/>
      <c r="T116" s="90"/>
      <c r="U116" s="90"/>
      <c r="V116" s="91"/>
      <c r="W116" s="25"/>
    </row>
    <row r="117" spans="1:23" x14ac:dyDescent="0.25">
      <c r="A117" s="42"/>
      <c r="B117" s="42"/>
      <c r="C117" s="42"/>
      <c r="D117" s="84"/>
      <c r="E117" s="79"/>
      <c r="F117" s="74"/>
      <c r="G117" s="73"/>
      <c r="H117" s="77"/>
      <c r="I117" s="77"/>
      <c r="J117" s="109"/>
      <c r="K117" s="126"/>
      <c r="L117" s="116"/>
      <c r="M117" s="115"/>
      <c r="N117" s="67"/>
      <c r="O117" s="130"/>
      <c r="P117" s="6"/>
      <c r="Q117" s="16"/>
      <c r="R117" s="8"/>
      <c r="S117" s="97"/>
      <c r="T117" s="90"/>
      <c r="U117" s="90"/>
      <c r="V117" s="91"/>
      <c r="W117" s="25"/>
    </row>
    <row r="118" spans="1:23" x14ac:dyDescent="0.25">
      <c r="A118" s="42"/>
      <c r="B118" s="42"/>
      <c r="C118" s="42"/>
      <c r="D118" s="84"/>
      <c r="E118" s="75"/>
      <c r="F118" s="76"/>
      <c r="G118" s="73"/>
      <c r="H118" s="77"/>
      <c r="I118" s="77"/>
      <c r="J118" s="109"/>
      <c r="K118" s="126"/>
      <c r="L118" s="116"/>
      <c r="M118" s="110"/>
      <c r="N118" s="65"/>
      <c r="O118" s="173"/>
      <c r="P118" s="6"/>
      <c r="Q118" s="146"/>
      <c r="R118" s="8"/>
      <c r="S118" s="97"/>
      <c r="T118" s="90"/>
      <c r="U118" s="90"/>
      <c r="V118" s="91"/>
      <c r="W118" s="25"/>
    </row>
    <row r="119" spans="1:23" x14ac:dyDescent="0.25">
      <c r="A119" s="42"/>
      <c r="B119" s="42"/>
      <c r="C119" s="42"/>
      <c r="D119" s="84"/>
      <c r="E119" s="79"/>
      <c r="F119" s="74"/>
      <c r="G119" s="79"/>
      <c r="H119" s="74"/>
      <c r="I119" s="74"/>
      <c r="J119" s="105"/>
      <c r="K119" s="126"/>
      <c r="L119" s="117"/>
      <c r="M119" s="110"/>
      <c r="N119" s="65"/>
      <c r="O119" s="173"/>
      <c r="P119" s="6"/>
      <c r="Q119" s="16"/>
      <c r="R119" s="8"/>
      <c r="S119" s="13"/>
      <c r="T119" s="90"/>
      <c r="U119" s="90"/>
      <c r="V119" s="91"/>
      <c r="W119" s="25"/>
    </row>
    <row r="120" spans="1:23" x14ac:dyDescent="0.25">
      <c r="A120" s="42"/>
      <c r="B120" s="42"/>
      <c r="C120" s="42"/>
      <c r="D120" s="84"/>
      <c r="E120" s="79"/>
      <c r="F120" s="74"/>
      <c r="G120" s="73"/>
      <c r="H120" s="77"/>
      <c r="I120" s="77"/>
      <c r="J120" s="109"/>
      <c r="K120" s="126"/>
      <c r="L120" s="116"/>
      <c r="M120" s="115"/>
      <c r="N120" s="67"/>
      <c r="O120" s="130"/>
      <c r="P120" s="6"/>
      <c r="Q120" s="16"/>
      <c r="R120" s="9"/>
      <c r="S120" s="97"/>
      <c r="T120" s="90"/>
      <c r="U120" s="90"/>
      <c r="V120" s="91"/>
      <c r="W120" s="25"/>
    </row>
    <row r="121" spans="1:23" x14ac:dyDescent="0.25">
      <c r="A121" s="42"/>
      <c r="B121" s="42"/>
      <c r="C121" s="42"/>
      <c r="D121" s="84"/>
      <c r="E121" s="75"/>
      <c r="F121" s="76"/>
      <c r="G121" s="79"/>
      <c r="H121" s="74"/>
      <c r="I121" s="74"/>
      <c r="J121" s="105"/>
      <c r="K121" s="126"/>
      <c r="L121" s="117"/>
      <c r="M121" s="110"/>
      <c r="N121" s="65"/>
      <c r="O121" s="173"/>
      <c r="P121" s="6"/>
      <c r="Q121" s="16"/>
      <c r="R121" s="9"/>
      <c r="S121" s="13"/>
      <c r="T121" s="90"/>
      <c r="U121" s="90"/>
      <c r="V121" s="91"/>
      <c r="W121" s="25"/>
    </row>
    <row r="122" spans="1:23" x14ac:dyDescent="0.25">
      <c r="A122" s="42"/>
      <c r="B122" s="42"/>
      <c r="C122" s="42"/>
      <c r="D122" s="84"/>
      <c r="E122" s="75"/>
      <c r="F122" s="76"/>
      <c r="G122" s="73"/>
      <c r="H122" s="77"/>
      <c r="I122" s="77"/>
      <c r="J122" s="109"/>
      <c r="K122" s="126"/>
      <c r="L122" s="116"/>
      <c r="M122" s="110"/>
      <c r="N122" s="65"/>
      <c r="O122" s="173"/>
      <c r="P122" s="6"/>
      <c r="Q122" s="16"/>
      <c r="R122" s="8"/>
      <c r="S122" s="13"/>
      <c r="T122" s="90"/>
      <c r="U122" s="90"/>
      <c r="V122" s="91"/>
      <c r="W122" s="25"/>
    </row>
    <row r="123" spans="1:23" x14ac:dyDescent="0.25">
      <c r="A123" s="42"/>
      <c r="B123" s="42"/>
      <c r="C123" s="42"/>
      <c r="D123" s="84"/>
      <c r="E123" s="79"/>
      <c r="F123" s="74"/>
      <c r="G123" s="73"/>
      <c r="H123" s="77"/>
      <c r="I123" s="77"/>
      <c r="J123" s="109"/>
      <c r="K123" s="126"/>
      <c r="L123" s="116"/>
      <c r="M123" s="110"/>
      <c r="N123" s="65"/>
      <c r="O123" s="173"/>
      <c r="P123" s="6"/>
      <c r="Q123" s="146"/>
      <c r="R123" s="8"/>
      <c r="S123" s="97"/>
      <c r="T123" s="90"/>
      <c r="U123" s="90"/>
      <c r="V123" s="91"/>
      <c r="W123" s="25"/>
    </row>
    <row r="124" spans="1:23" x14ac:dyDescent="0.25">
      <c r="A124" s="42"/>
      <c r="B124" s="42"/>
      <c r="C124" s="42"/>
      <c r="D124" s="84"/>
      <c r="E124" s="79"/>
      <c r="F124" s="74"/>
      <c r="G124" s="79"/>
      <c r="H124" s="74"/>
      <c r="I124" s="74"/>
      <c r="J124" s="105"/>
      <c r="K124" s="126"/>
      <c r="L124" s="117"/>
      <c r="M124" s="110"/>
      <c r="N124" s="65"/>
      <c r="O124" s="173"/>
      <c r="P124" s="6"/>
      <c r="Q124" s="146"/>
      <c r="R124" s="93"/>
      <c r="S124" s="97"/>
      <c r="T124" s="90"/>
      <c r="U124" s="90"/>
      <c r="V124" s="91"/>
      <c r="W124" s="25"/>
    </row>
    <row r="125" spans="1:23" x14ac:dyDescent="0.25">
      <c r="A125" s="42"/>
      <c r="B125" s="42"/>
      <c r="C125" s="42"/>
      <c r="D125" s="84"/>
      <c r="E125" s="79"/>
      <c r="F125" s="74"/>
      <c r="G125" s="73"/>
      <c r="H125" s="77"/>
      <c r="I125" s="77"/>
      <c r="J125" s="109"/>
      <c r="K125" s="126"/>
      <c r="L125" s="116"/>
      <c r="M125" s="110"/>
      <c r="N125" s="65"/>
      <c r="O125" s="173"/>
      <c r="P125" s="6"/>
      <c r="Q125" s="16"/>
      <c r="R125" s="9"/>
      <c r="S125" s="13"/>
      <c r="T125" s="90"/>
      <c r="U125" s="90"/>
      <c r="V125" s="91"/>
      <c r="W125" s="25"/>
    </row>
    <row r="126" spans="1:23" x14ac:dyDescent="0.25">
      <c r="A126" s="42"/>
      <c r="B126" s="42"/>
      <c r="C126" s="42"/>
      <c r="D126" s="84"/>
      <c r="E126" s="79"/>
      <c r="F126" s="74"/>
      <c r="G126" s="75"/>
      <c r="H126" s="76"/>
      <c r="I126" s="77"/>
      <c r="J126" s="109"/>
      <c r="K126" s="126"/>
      <c r="L126" s="116"/>
      <c r="M126" s="115"/>
      <c r="N126" s="67"/>
      <c r="O126" s="173"/>
      <c r="P126" s="6"/>
      <c r="Q126" s="16"/>
      <c r="R126" s="8"/>
      <c r="S126" s="97"/>
      <c r="T126" s="90"/>
      <c r="U126" s="90"/>
      <c r="V126" s="91"/>
      <c r="W126" s="25"/>
    </row>
    <row r="127" spans="1:23" x14ac:dyDescent="0.25">
      <c r="A127" s="42"/>
      <c r="B127" s="42"/>
      <c r="C127" s="42"/>
      <c r="D127" s="84"/>
      <c r="E127" s="75"/>
      <c r="F127" s="76"/>
      <c r="G127" s="79"/>
      <c r="H127" s="74"/>
      <c r="I127" s="77"/>
      <c r="J127" s="109"/>
      <c r="K127" s="126"/>
      <c r="L127" s="116"/>
      <c r="M127" s="114"/>
      <c r="N127" s="66"/>
      <c r="O127" s="127"/>
      <c r="P127" s="6"/>
      <c r="Q127" s="146"/>
      <c r="R127" s="9"/>
      <c r="S127" s="97"/>
      <c r="T127" s="90"/>
      <c r="U127" s="90"/>
      <c r="V127" s="91"/>
      <c r="W127" s="25"/>
    </row>
    <row r="128" spans="1:23" x14ac:dyDescent="0.25">
      <c r="A128" s="42"/>
      <c r="B128" s="42"/>
      <c r="C128" s="42"/>
      <c r="D128" s="84"/>
      <c r="E128" s="75"/>
      <c r="F128" s="76"/>
      <c r="G128" s="78"/>
      <c r="H128" s="77"/>
      <c r="I128" s="77"/>
      <c r="J128" s="109"/>
      <c r="K128" s="126"/>
      <c r="L128" s="116"/>
      <c r="M128" s="114"/>
      <c r="N128" s="66"/>
      <c r="O128" s="127"/>
      <c r="P128" s="6"/>
      <c r="Q128" s="16"/>
      <c r="R128" s="93"/>
      <c r="S128" s="13"/>
      <c r="T128" s="90"/>
      <c r="U128" s="90"/>
      <c r="V128" s="91"/>
      <c r="W128" s="25"/>
    </row>
    <row r="129" spans="1:23" x14ac:dyDescent="0.25">
      <c r="A129" s="42"/>
      <c r="B129" s="42"/>
      <c r="C129" s="42"/>
      <c r="D129" s="84"/>
      <c r="E129" s="75"/>
      <c r="F129" s="76"/>
      <c r="G129" s="79"/>
      <c r="H129" s="74"/>
      <c r="I129" s="77"/>
      <c r="J129" s="109"/>
      <c r="K129" s="126"/>
      <c r="L129" s="116"/>
      <c r="M129" s="114"/>
      <c r="N129" s="66"/>
      <c r="O129" s="127"/>
      <c r="P129" s="6"/>
      <c r="Q129" s="16"/>
      <c r="R129" s="9"/>
      <c r="S129" s="13"/>
      <c r="T129" s="90"/>
      <c r="U129" s="90"/>
      <c r="V129" s="91"/>
      <c r="W129" s="25"/>
    </row>
    <row r="130" spans="1:23" x14ac:dyDescent="0.25">
      <c r="A130" s="42"/>
      <c r="B130" s="42"/>
      <c r="C130" s="42"/>
      <c r="D130" s="84"/>
      <c r="E130" s="75"/>
      <c r="F130" s="76"/>
      <c r="G130" s="78"/>
      <c r="H130" s="77"/>
      <c r="I130" s="77"/>
      <c r="J130" s="109"/>
      <c r="K130" s="126"/>
      <c r="L130" s="116"/>
      <c r="M130" s="114"/>
      <c r="N130" s="66"/>
      <c r="O130" s="127"/>
      <c r="P130" s="6"/>
      <c r="Q130" s="16"/>
      <c r="R130" s="8"/>
      <c r="S130" s="13"/>
      <c r="T130" s="90"/>
      <c r="U130" s="90"/>
      <c r="V130" s="91"/>
      <c r="W130" s="25"/>
    </row>
    <row r="131" spans="1:23" x14ac:dyDescent="0.25">
      <c r="A131" s="42"/>
      <c r="B131" s="42"/>
      <c r="C131" s="42"/>
      <c r="D131" s="84"/>
      <c r="E131" s="75"/>
      <c r="F131" s="76"/>
      <c r="G131" s="79"/>
      <c r="H131" s="74"/>
      <c r="I131" s="77"/>
      <c r="J131" s="109"/>
      <c r="K131" s="126"/>
      <c r="L131" s="116"/>
      <c r="M131" s="114"/>
      <c r="N131" s="66"/>
      <c r="O131" s="127"/>
      <c r="P131" s="6"/>
      <c r="Q131" s="16"/>
      <c r="R131" s="8"/>
      <c r="S131" s="13"/>
      <c r="T131" s="90"/>
      <c r="U131" s="90"/>
      <c r="V131" s="91"/>
      <c r="W131" s="25"/>
    </row>
    <row r="132" spans="1:23" x14ac:dyDescent="0.25">
      <c r="A132" s="42"/>
      <c r="B132" s="42"/>
      <c r="C132" s="42"/>
      <c r="D132" s="84"/>
      <c r="E132" s="75"/>
      <c r="F132" s="76"/>
      <c r="G132" s="78"/>
      <c r="H132" s="77"/>
      <c r="I132" s="77"/>
      <c r="J132" s="109"/>
      <c r="K132" s="126"/>
      <c r="L132" s="116"/>
      <c r="M132" s="114"/>
      <c r="N132" s="66"/>
      <c r="O132" s="127"/>
      <c r="P132" s="6"/>
      <c r="Q132" s="16"/>
      <c r="R132" s="9"/>
      <c r="S132" s="13"/>
      <c r="T132" s="90"/>
      <c r="U132" s="90"/>
      <c r="V132" s="91"/>
      <c r="W132" s="25"/>
    </row>
    <row r="133" spans="1:23" x14ac:dyDescent="0.25">
      <c r="A133" s="42"/>
      <c r="B133" s="42"/>
      <c r="C133" s="42"/>
      <c r="D133" s="84"/>
      <c r="E133" s="75"/>
      <c r="F133" s="76"/>
      <c r="G133" s="78"/>
      <c r="H133" s="77"/>
      <c r="I133" s="77"/>
      <c r="J133" s="109"/>
      <c r="K133" s="126"/>
      <c r="L133" s="116"/>
      <c r="M133" s="114"/>
      <c r="N133" s="66"/>
      <c r="O133" s="127"/>
      <c r="P133" s="6"/>
      <c r="Q133" s="16"/>
      <c r="R133" s="8"/>
      <c r="S133" s="13"/>
      <c r="T133" s="90"/>
      <c r="U133" s="90"/>
      <c r="V133" s="91"/>
      <c r="W133" s="25"/>
    </row>
    <row r="134" spans="1:23" x14ac:dyDescent="0.25">
      <c r="A134" s="42"/>
      <c r="B134" s="42"/>
      <c r="C134" s="42"/>
      <c r="D134" s="84"/>
      <c r="E134" s="75"/>
      <c r="F134" s="76"/>
      <c r="G134" s="75"/>
      <c r="H134" s="76"/>
      <c r="I134" s="77"/>
      <c r="J134" s="109"/>
      <c r="K134" s="126"/>
      <c r="L134" s="116"/>
      <c r="M134" s="114"/>
      <c r="N134" s="66"/>
      <c r="O134" s="127"/>
      <c r="P134" s="6"/>
      <c r="Q134" s="16"/>
      <c r="R134" s="93"/>
      <c r="S134" s="97"/>
      <c r="T134" s="90"/>
      <c r="U134" s="90"/>
      <c r="V134" s="91"/>
      <c r="W134" s="25"/>
    </row>
    <row r="135" spans="1:23" x14ac:dyDescent="0.25">
      <c r="A135" s="42"/>
      <c r="B135" s="42"/>
      <c r="C135" s="42"/>
      <c r="D135" s="84"/>
      <c r="E135" s="75"/>
      <c r="F135" s="76"/>
      <c r="G135" s="73"/>
      <c r="H135" s="77"/>
      <c r="I135" s="77"/>
      <c r="J135" s="109"/>
      <c r="K135" s="126"/>
      <c r="L135" s="116"/>
      <c r="M135" s="114"/>
      <c r="N135" s="66"/>
      <c r="O135" s="127"/>
      <c r="P135" s="6"/>
      <c r="Q135" s="16"/>
      <c r="R135" s="9"/>
      <c r="S135" s="97"/>
      <c r="T135" s="90"/>
      <c r="U135" s="90"/>
      <c r="V135" s="91"/>
      <c r="W135" s="25"/>
    </row>
    <row r="136" spans="1:23" x14ac:dyDescent="0.25">
      <c r="A136" s="42"/>
      <c r="B136" s="42"/>
      <c r="C136" s="42"/>
      <c r="D136" s="84"/>
      <c r="E136" s="75"/>
      <c r="F136" s="76"/>
      <c r="G136" s="73"/>
      <c r="H136" s="77"/>
      <c r="I136" s="77"/>
      <c r="J136" s="109"/>
      <c r="K136" s="126"/>
      <c r="L136" s="116"/>
      <c r="M136" s="114"/>
      <c r="N136" s="66"/>
      <c r="O136" s="127"/>
      <c r="P136" s="6"/>
      <c r="Q136" s="16"/>
      <c r="R136" s="9"/>
      <c r="S136" s="13"/>
      <c r="T136" s="90"/>
      <c r="U136" s="90"/>
      <c r="V136" s="91"/>
      <c r="W136" s="25"/>
    </row>
    <row r="137" spans="1:23" x14ac:dyDescent="0.25">
      <c r="A137" s="42"/>
      <c r="B137" s="42"/>
      <c r="C137" s="42"/>
      <c r="D137" s="84"/>
      <c r="E137" s="75"/>
      <c r="F137" s="76"/>
      <c r="G137" s="79"/>
      <c r="H137" s="74"/>
      <c r="I137" s="74"/>
      <c r="J137" s="105"/>
      <c r="K137" s="126"/>
      <c r="L137" s="117"/>
      <c r="M137" s="114"/>
      <c r="N137" s="66"/>
      <c r="O137" s="127"/>
      <c r="P137" s="6"/>
      <c r="Q137" s="16"/>
      <c r="R137" s="93"/>
      <c r="S137" s="97"/>
      <c r="T137" s="90"/>
      <c r="U137" s="90"/>
      <c r="V137" s="91"/>
      <c r="W137" s="25"/>
    </row>
    <row r="138" spans="1:23" x14ac:dyDescent="0.25">
      <c r="A138" s="42"/>
      <c r="B138" s="42"/>
      <c r="C138" s="42"/>
      <c r="D138" s="84"/>
      <c r="E138" s="75"/>
      <c r="F138" s="76"/>
      <c r="G138" s="75"/>
      <c r="H138" s="76"/>
      <c r="I138" s="77"/>
      <c r="J138" s="109"/>
      <c r="K138" s="126"/>
      <c r="L138" s="116"/>
      <c r="M138" s="114"/>
      <c r="N138" s="66"/>
      <c r="O138" s="127"/>
      <c r="P138" s="6"/>
      <c r="Q138" s="16"/>
      <c r="R138" s="93"/>
      <c r="S138" s="13"/>
      <c r="T138" s="90"/>
      <c r="U138" s="90"/>
      <c r="V138" s="91"/>
      <c r="W138" s="25"/>
    </row>
    <row r="139" spans="1:23" x14ac:dyDescent="0.25">
      <c r="A139" s="42"/>
      <c r="B139" s="42"/>
      <c r="C139" s="42"/>
      <c r="D139" s="84"/>
      <c r="E139" s="75"/>
      <c r="F139" s="76"/>
      <c r="G139" s="75"/>
      <c r="H139" s="76"/>
      <c r="I139" s="75"/>
      <c r="J139" s="111"/>
      <c r="K139" s="126"/>
      <c r="L139" s="118"/>
      <c r="M139" s="115"/>
      <c r="N139" s="67"/>
      <c r="O139" s="173"/>
      <c r="P139" s="6"/>
      <c r="Q139" s="16"/>
      <c r="R139" s="93"/>
      <c r="S139" s="13"/>
      <c r="T139" s="90"/>
      <c r="U139" s="90"/>
      <c r="V139" s="91"/>
      <c r="W139" s="25"/>
    </row>
    <row r="140" spans="1:23" x14ac:dyDescent="0.25">
      <c r="A140" s="42"/>
      <c r="B140" s="42"/>
      <c r="C140" s="42"/>
      <c r="D140" s="84"/>
      <c r="E140" s="75"/>
      <c r="F140" s="76"/>
      <c r="G140" s="75"/>
      <c r="H140" s="76"/>
      <c r="I140" s="77"/>
      <c r="J140" s="109"/>
      <c r="K140" s="126"/>
      <c r="L140" s="116"/>
      <c r="M140" s="115"/>
      <c r="N140" s="67"/>
      <c r="O140" s="130"/>
      <c r="P140" s="6"/>
      <c r="Q140" s="16"/>
      <c r="R140" s="9"/>
      <c r="S140" s="97"/>
      <c r="T140" s="90"/>
      <c r="U140" s="90"/>
      <c r="V140" s="91"/>
      <c r="W140" s="25"/>
    </row>
    <row r="141" spans="1:23" x14ac:dyDescent="0.25">
      <c r="A141" s="42"/>
      <c r="B141" s="42"/>
      <c r="C141" s="42"/>
      <c r="D141" s="84"/>
      <c r="E141" s="75"/>
      <c r="F141" s="76"/>
      <c r="G141" s="78"/>
      <c r="H141" s="77"/>
      <c r="I141" s="77"/>
      <c r="J141" s="109"/>
      <c r="K141" s="126"/>
      <c r="L141" s="116"/>
      <c r="M141" s="115"/>
      <c r="N141" s="67"/>
      <c r="O141" s="130"/>
      <c r="P141" s="6"/>
      <c r="Q141" s="16"/>
      <c r="R141" s="8"/>
      <c r="S141" s="13"/>
      <c r="T141" s="90"/>
      <c r="U141" s="90"/>
      <c r="V141" s="91"/>
      <c r="W141" s="25"/>
    </row>
    <row r="142" spans="1:23" x14ac:dyDescent="0.25">
      <c r="A142" s="42"/>
      <c r="B142" s="42"/>
      <c r="C142" s="42"/>
      <c r="D142" s="84"/>
      <c r="E142" s="75"/>
      <c r="F142" s="76"/>
      <c r="G142" s="78"/>
      <c r="H142" s="77"/>
      <c r="I142" s="77"/>
      <c r="J142" s="109"/>
      <c r="K142" s="126"/>
      <c r="L142" s="116"/>
      <c r="M142" s="115"/>
      <c r="N142" s="67"/>
      <c r="O142" s="130"/>
      <c r="P142" s="6"/>
      <c r="Q142" s="146"/>
      <c r="R142" s="9"/>
      <c r="S142" s="13"/>
      <c r="T142" s="90"/>
      <c r="U142" s="90"/>
      <c r="V142" s="91"/>
      <c r="W142" s="25"/>
    </row>
    <row r="143" spans="1:23" x14ac:dyDescent="0.25">
      <c r="A143" s="42"/>
      <c r="B143" s="42"/>
      <c r="C143" s="42"/>
      <c r="D143" s="84"/>
      <c r="E143" s="75"/>
      <c r="F143" s="76"/>
      <c r="G143" s="78"/>
      <c r="H143" s="77"/>
      <c r="I143" s="77"/>
      <c r="J143" s="109"/>
      <c r="K143" s="126"/>
      <c r="L143" s="116"/>
      <c r="M143" s="115"/>
      <c r="N143" s="67"/>
      <c r="O143" s="130"/>
      <c r="P143" s="6"/>
      <c r="Q143" s="16"/>
      <c r="R143" s="9"/>
      <c r="S143" s="13"/>
      <c r="T143" s="90"/>
      <c r="U143" s="90"/>
      <c r="V143" s="91"/>
      <c r="W143" s="25"/>
    </row>
    <row r="144" spans="1:23" x14ac:dyDescent="0.25">
      <c r="A144" s="42"/>
      <c r="B144" s="42"/>
      <c r="C144" s="42"/>
      <c r="D144" s="84"/>
      <c r="E144" s="75"/>
      <c r="F144" s="76"/>
      <c r="G144" s="78"/>
      <c r="H144" s="77"/>
      <c r="I144" s="77"/>
      <c r="J144" s="109"/>
      <c r="K144" s="126"/>
      <c r="L144" s="116"/>
      <c r="M144" s="115"/>
      <c r="N144" s="67"/>
      <c r="O144" s="130"/>
      <c r="P144" s="6"/>
      <c r="Q144" s="16"/>
      <c r="R144" s="93"/>
      <c r="S144" s="97"/>
      <c r="T144" s="90"/>
      <c r="U144" s="90"/>
      <c r="V144" s="91"/>
      <c r="W144" s="25"/>
    </row>
    <row r="145" spans="1:23" x14ac:dyDescent="0.25">
      <c r="A145" s="42"/>
      <c r="B145" s="42"/>
      <c r="C145" s="42"/>
      <c r="D145" s="84"/>
      <c r="E145" s="75"/>
      <c r="F145" s="76"/>
      <c r="G145" s="78"/>
      <c r="H145" s="77"/>
      <c r="I145" s="77"/>
      <c r="J145" s="109"/>
      <c r="K145" s="126"/>
      <c r="L145" s="116"/>
      <c r="M145" s="115"/>
      <c r="N145" s="67"/>
      <c r="O145" s="130"/>
      <c r="P145" s="6"/>
      <c r="Q145" s="146"/>
      <c r="R145" s="9"/>
      <c r="S145" s="97"/>
      <c r="T145" s="90"/>
      <c r="U145" s="90"/>
      <c r="V145" s="91"/>
      <c r="W145" s="25"/>
    </row>
    <row r="146" spans="1:23" x14ac:dyDescent="0.25">
      <c r="A146" s="42"/>
      <c r="B146" s="42"/>
      <c r="C146" s="42"/>
      <c r="D146" s="84"/>
      <c r="E146" s="75"/>
      <c r="F146" s="76"/>
      <c r="G146" s="78"/>
      <c r="H146" s="77"/>
      <c r="I146" s="77"/>
      <c r="J146" s="109"/>
      <c r="K146" s="126"/>
      <c r="L146" s="116"/>
      <c r="M146" s="110"/>
      <c r="N146" s="65"/>
      <c r="O146" s="173"/>
      <c r="P146" s="6"/>
      <c r="Q146" s="16"/>
      <c r="R146" s="8"/>
      <c r="S146" s="13"/>
      <c r="T146" s="90"/>
      <c r="U146" s="90"/>
      <c r="V146" s="91"/>
      <c r="W146" s="25"/>
    </row>
    <row r="147" spans="1:23" x14ac:dyDescent="0.25">
      <c r="A147" s="42"/>
      <c r="B147" s="42"/>
      <c r="C147" s="42"/>
      <c r="D147" s="84"/>
      <c r="E147" s="75"/>
      <c r="F147" s="76"/>
      <c r="G147" s="79"/>
      <c r="H147" s="74"/>
      <c r="I147" s="79"/>
      <c r="J147" s="105"/>
      <c r="K147" s="126"/>
      <c r="L147" s="117"/>
      <c r="M147" s="115"/>
      <c r="N147" s="67"/>
      <c r="O147" s="130"/>
      <c r="P147" s="6"/>
      <c r="Q147" s="146"/>
      <c r="R147" s="8"/>
      <c r="S147" s="97"/>
      <c r="T147" s="90"/>
      <c r="U147" s="90"/>
      <c r="V147" s="91"/>
      <c r="W147" s="25"/>
    </row>
    <row r="148" spans="1:23" x14ac:dyDescent="0.25">
      <c r="A148" s="42"/>
      <c r="B148" s="42"/>
      <c r="C148" s="42"/>
      <c r="D148" s="84"/>
      <c r="E148" s="75"/>
      <c r="F148" s="76"/>
      <c r="G148" s="78"/>
      <c r="H148" s="77"/>
      <c r="I148" s="77"/>
      <c r="J148" s="109"/>
      <c r="K148" s="126"/>
      <c r="L148" s="116"/>
      <c r="M148" s="115"/>
      <c r="N148" s="67"/>
      <c r="O148" s="130"/>
      <c r="P148" s="6"/>
      <c r="Q148" s="16"/>
      <c r="R148" s="9"/>
      <c r="S148" s="13"/>
      <c r="T148" s="90"/>
      <c r="U148" s="90"/>
      <c r="V148" s="91"/>
      <c r="W148" s="25"/>
    </row>
    <row r="149" spans="1:23" x14ac:dyDescent="0.25">
      <c r="A149" s="42"/>
      <c r="B149" s="42"/>
      <c r="C149" s="42"/>
      <c r="D149" s="84"/>
      <c r="E149" s="75"/>
      <c r="F149" s="76"/>
      <c r="G149" s="78"/>
      <c r="H149" s="77"/>
      <c r="I149" s="77"/>
      <c r="J149" s="109"/>
      <c r="K149" s="126"/>
      <c r="L149" s="116"/>
      <c r="M149" s="115"/>
      <c r="N149" s="67"/>
      <c r="O149" s="130"/>
      <c r="P149" s="6"/>
      <c r="Q149" s="146"/>
      <c r="R149" s="9"/>
      <c r="S149" s="97"/>
      <c r="T149" s="90"/>
      <c r="U149" s="90"/>
      <c r="V149" s="91"/>
      <c r="W149" s="25"/>
    </row>
    <row r="150" spans="1:23" x14ac:dyDescent="0.25">
      <c r="A150" s="42"/>
      <c r="B150" s="42"/>
      <c r="C150" s="42"/>
      <c r="D150" s="84"/>
      <c r="E150" s="75"/>
      <c r="F150" s="76"/>
      <c r="G150" s="78"/>
      <c r="H150" s="77"/>
      <c r="I150" s="77"/>
      <c r="J150" s="109"/>
      <c r="K150" s="126"/>
      <c r="L150" s="116"/>
      <c r="M150" s="115"/>
      <c r="N150" s="67"/>
      <c r="O150" s="130"/>
      <c r="P150" s="6"/>
      <c r="Q150" s="16"/>
      <c r="R150" s="9"/>
      <c r="S150" s="97"/>
      <c r="T150" s="90"/>
      <c r="U150" s="90"/>
      <c r="V150" s="91"/>
      <c r="W150" s="25"/>
    </row>
    <row r="151" spans="1:23" x14ac:dyDescent="0.25">
      <c r="A151" s="42"/>
      <c r="B151" s="42"/>
      <c r="C151" s="42"/>
      <c r="D151" s="84"/>
      <c r="E151" s="75"/>
      <c r="F151" s="76"/>
      <c r="G151" s="78"/>
      <c r="H151" s="77"/>
      <c r="I151" s="77"/>
      <c r="J151" s="109"/>
      <c r="K151" s="126"/>
      <c r="L151" s="116"/>
      <c r="M151" s="115"/>
      <c r="N151" s="67"/>
      <c r="O151" s="130"/>
      <c r="P151" s="6"/>
      <c r="Q151" s="16"/>
      <c r="R151" s="8"/>
      <c r="S151" s="13"/>
      <c r="T151" s="90"/>
      <c r="U151" s="90"/>
      <c r="V151" s="91"/>
      <c r="W151" s="25"/>
    </row>
    <row r="152" spans="1:23" x14ac:dyDescent="0.25">
      <c r="A152" s="42"/>
      <c r="B152" s="42"/>
      <c r="C152" s="42"/>
      <c r="D152" s="84"/>
      <c r="E152" s="75"/>
      <c r="F152" s="76"/>
      <c r="G152" s="78"/>
      <c r="H152" s="77"/>
      <c r="I152" s="77"/>
      <c r="J152" s="109"/>
      <c r="K152" s="126"/>
      <c r="L152" s="116"/>
      <c r="M152" s="115"/>
      <c r="N152" s="67"/>
      <c r="O152" s="173"/>
      <c r="P152" s="6"/>
      <c r="Q152" s="16"/>
      <c r="R152" s="8"/>
      <c r="S152" s="97"/>
      <c r="T152" s="90"/>
      <c r="U152" s="90"/>
      <c r="V152" s="91"/>
      <c r="W152" s="25"/>
    </row>
    <row r="153" spans="1:23" x14ac:dyDescent="0.25">
      <c r="A153" s="42"/>
      <c r="B153" s="42"/>
      <c r="C153" s="42"/>
      <c r="D153" s="84"/>
      <c r="E153" s="75"/>
      <c r="F153" s="76"/>
      <c r="G153" s="73"/>
      <c r="H153" s="77"/>
      <c r="I153" s="77"/>
      <c r="J153" s="109"/>
      <c r="K153" s="126"/>
      <c r="L153" s="116"/>
      <c r="M153" s="114"/>
      <c r="N153" s="66"/>
      <c r="O153" s="127"/>
      <c r="P153" s="6"/>
      <c r="Q153" s="16"/>
      <c r="R153" s="8"/>
      <c r="S153" s="13"/>
      <c r="T153" s="90"/>
      <c r="U153" s="90"/>
      <c r="V153" s="91"/>
      <c r="W153" s="25"/>
    </row>
    <row r="154" spans="1:23" x14ac:dyDescent="0.25">
      <c r="A154" s="42"/>
      <c r="B154" s="42"/>
      <c r="C154" s="42"/>
      <c r="D154" s="84"/>
      <c r="E154" s="75"/>
      <c r="F154" s="76"/>
      <c r="G154" s="73"/>
      <c r="H154" s="77"/>
      <c r="I154" s="77"/>
      <c r="J154" s="109"/>
      <c r="K154" s="126"/>
      <c r="L154" s="116"/>
      <c r="M154" s="114"/>
      <c r="N154" s="66"/>
      <c r="O154" s="127"/>
      <c r="P154" s="6"/>
      <c r="Q154" s="16"/>
      <c r="R154" s="9"/>
      <c r="S154" s="97"/>
      <c r="T154" s="90"/>
      <c r="U154" s="90"/>
      <c r="V154" s="91"/>
      <c r="W154" s="25"/>
    </row>
    <row r="155" spans="1:23" x14ac:dyDescent="0.25">
      <c r="A155" s="42"/>
      <c r="B155" s="42"/>
      <c r="C155" s="42"/>
      <c r="D155" s="84"/>
      <c r="E155" s="75"/>
      <c r="F155" s="76"/>
      <c r="G155" s="75"/>
      <c r="H155" s="76"/>
      <c r="I155" s="75"/>
      <c r="J155" s="111"/>
      <c r="K155" s="126"/>
      <c r="L155" s="118"/>
      <c r="M155" s="114"/>
      <c r="N155" s="66"/>
      <c r="O155" s="127"/>
      <c r="P155" s="6"/>
      <c r="Q155" s="16"/>
      <c r="R155" s="93"/>
      <c r="S155" s="97"/>
      <c r="T155" s="90"/>
      <c r="U155" s="90"/>
      <c r="V155" s="91"/>
      <c r="W155" s="25"/>
    </row>
    <row r="156" spans="1:23" x14ac:dyDescent="0.25">
      <c r="A156" s="42"/>
      <c r="B156" s="42"/>
      <c r="C156" s="42"/>
      <c r="D156" s="84"/>
      <c r="E156" s="75"/>
      <c r="F156" s="76"/>
      <c r="G156" s="73"/>
      <c r="H156" s="77"/>
      <c r="I156" s="77"/>
      <c r="J156" s="109"/>
      <c r="K156" s="126"/>
      <c r="L156" s="116"/>
      <c r="M156" s="114"/>
      <c r="N156" s="66"/>
      <c r="O156" s="127"/>
      <c r="P156" s="6"/>
      <c r="Q156" s="146"/>
      <c r="R156" s="9"/>
      <c r="S156" s="97"/>
      <c r="T156" s="90"/>
      <c r="U156" s="90"/>
      <c r="V156" s="91"/>
      <c r="W156" s="25"/>
    </row>
    <row r="157" spans="1:23" x14ac:dyDescent="0.25">
      <c r="A157" s="42"/>
      <c r="B157" s="42"/>
      <c r="C157" s="42"/>
      <c r="D157" s="84"/>
      <c r="E157" s="75"/>
      <c r="F157" s="76"/>
      <c r="G157" s="79"/>
      <c r="H157" s="74"/>
      <c r="I157" s="74"/>
      <c r="J157" s="105"/>
      <c r="K157" s="126"/>
      <c r="L157" s="117"/>
      <c r="M157" s="114"/>
      <c r="N157" s="66"/>
      <c r="O157" s="127"/>
      <c r="P157" s="6"/>
      <c r="Q157" s="16"/>
      <c r="R157" s="9"/>
      <c r="S157" s="13"/>
      <c r="T157" s="90"/>
      <c r="U157" s="90"/>
      <c r="V157" s="91"/>
      <c r="W157" s="25"/>
    </row>
    <row r="158" spans="1:23" x14ac:dyDescent="0.25">
      <c r="A158" s="42"/>
      <c r="B158" s="42"/>
      <c r="C158" s="42"/>
      <c r="D158" s="84"/>
      <c r="E158" s="75"/>
      <c r="F158" s="76"/>
      <c r="G158" s="79"/>
      <c r="H158" s="74"/>
      <c r="I158" s="74"/>
      <c r="J158" s="105"/>
      <c r="K158" s="126"/>
      <c r="L158" s="117"/>
      <c r="M158" s="114"/>
      <c r="N158" s="66"/>
      <c r="O158" s="127"/>
      <c r="P158" s="6"/>
      <c r="Q158" s="146"/>
      <c r="R158" s="93"/>
      <c r="S158" s="97"/>
      <c r="T158" s="90"/>
      <c r="U158" s="90"/>
      <c r="V158" s="91"/>
      <c r="W158" s="25"/>
    </row>
    <row r="159" spans="1:23" x14ac:dyDescent="0.25">
      <c r="A159" s="42"/>
      <c r="B159" s="42"/>
      <c r="C159" s="42"/>
      <c r="D159" s="84"/>
      <c r="E159" s="75"/>
      <c r="F159" s="76"/>
      <c r="G159" s="79"/>
      <c r="H159" s="74"/>
      <c r="I159" s="77"/>
      <c r="J159" s="109"/>
      <c r="K159" s="126"/>
      <c r="L159" s="116"/>
      <c r="M159" s="114"/>
      <c r="N159" s="66"/>
      <c r="O159" s="127"/>
      <c r="P159" s="6"/>
      <c r="Q159" s="16"/>
      <c r="R159" s="93"/>
      <c r="S159" s="13"/>
      <c r="T159" s="90"/>
      <c r="U159" s="90"/>
      <c r="V159" s="91"/>
      <c r="W159" s="25"/>
    </row>
    <row r="160" spans="1:23" x14ac:dyDescent="0.25">
      <c r="A160" s="42"/>
      <c r="B160" s="42"/>
      <c r="C160" s="42"/>
      <c r="D160" s="84"/>
      <c r="E160" s="75"/>
      <c r="F160" s="76"/>
      <c r="G160" s="79"/>
      <c r="H160" s="74"/>
      <c r="I160" s="77"/>
      <c r="J160" s="109"/>
      <c r="K160" s="126"/>
      <c r="L160" s="116"/>
      <c r="M160" s="114"/>
      <c r="N160" s="66"/>
      <c r="O160" s="127"/>
      <c r="P160" s="6"/>
      <c r="Q160" s="146"/>
      <c r="R160" s="93"/>
      <c r="S160" s="97"/>
      <c r="T160" s="90"/>
      <c r="U160" s="90"/>
      <c r="V160" s="91"/>
      <c r="W160" s="25"/>
    </row>
    <row r="161" spans="1:23" x14ac:dyDescent="0.25">
      <c r="A161" s="42"/>
      <c r="B161" s="42"/>
      <c r="C161" s="42"/>
      <c r="D161" s="84"/>
      <c r="E161" s="75"/>
      <c r="F161" s="76"/>
      <c r="G161" s="73"/>
      <c r="H161" s="77"/>
      <c r="I161" s="77"/>
      <c r="J161" s="109"/>
      <c r="K161" s="126"/>
      <c r="L161" s="116"/>
      <c r="M161" s="114"/>
      <c r="N161" s="66"/>
      <c r="O161" s="127"/>
      <c r="P161" s="6"/>
      <c r="Q161" s="146"/>
      <c r="R161" s="8"/>
      <c r="S161" s="97"/>
      <c r="T161" s="90"/>
      <c r="U161" s="90"/>
      <c r="V161" s="91"/>
      <c r="W161" s="25"/>
    </row>
    <row r="162" spans="1:23" x14ac:dyDescent="0.25">
      <c r="A162" s="42"/>
      <c r="B162" s="42"/>
      <c r="C162" s="42"/>
      <c r="D162" s="84"/>
      <c r="E162" s="75"/>
      <c r="F162" s="76"/>
      <c r="G162" s="78"/>
      <c r="H162" s="77"/>
      <c r="I162" s="77"/>
      <c r="J162" s="109"/>
      <c r="K162" s="126"/>
      <c r="L162" s="116"/>
      <c r="M162" s="114"/>
      <c r="N162" s="66"/>
      <c r="O162" s="127"/>
      <c r="P162" s="6"/>
      <c r="Q162" s="16"/>
      <c r="R162" s="93"/>
      <c r="S162" s="97"/>
      <c r="T162" s="90"/>
      <c r="U162" s="90"/>
      <c r="V162" s="91"/>
      <c r="W162" s="25"/>
    </row>
    <row r="163" spans="1:23" x14ac:dyDescent="0.25">
      <c r="A163" s="42"/>
      <c r="B163" s="42"/>
      <c r="C163" s="42"/>
      <c r="D163" s="84"/>
      <c r="E163" s="75"/>
      <c r="F163" s="76"/>
      <c r="G163" s="78"/>
      <c r="H163" s="77"/>
      <c r="I163" s="77"/>
      <c r="J163" s="109"/>
      <c r="K163" s="126"/>
      <c r="L163" s="116"/>
      <c r="M163" s="110"/>
      <c r="N163" s="65"/>
      <c r="O163" s="173"/>
      <c r="P163" s="6"/>
      <c r="Q163" s="16"/>
      <c r="R163" s="93"/>
      <c r="S163" s="97"/>
      <c r="T163" s="90"/>
      <c r="U163" s="90"/>
      <c r="V163" s="91"/>
      <c r="W163" s="25"/>
    </row>
    <row r="164" spans="1:23" x14ac:dyDescent="0.25">
      <c r="A164" s="42"/>
      <c r="B164" s="42"/>
      <c r="C164" s="42"/>
      <c r="D164" s="84"/>
      <c r="E164" s="79"/>
      <c r="F164" s="74"/>
      <c r="G164" s="78"/>
      <c r="H164" s="77"/>
      <c r="I164" s="77"/>
      <c r="J164" s="109"/>
      <c r="K164" s="126"/>
      <c r="L164" s="116"/>
      <c r="M164" s="115"/>
      <c r="N164" s="67"/>
      <c r="O164" s="130"/>
      <c r="P164" s="6"/>
      <c r="Q164" s="146"/>
      <c r="R164" s="8"/>
      <c r="S164" s="97"/>
      <c r="T164" s="90"/>
      <c r="U164" s="90"/>
      <c r="V164" s="91"/>
      <c r="W164" s="25"/>
    </row>
    <row r="165" spans="1:23" x14ac:dyDescent="0.25">
      <c r="A165" s="42"/>
      <c r="B165" s="42"/>
      <c r="C165" s="42"/>
      <c r="D165" s="84"/>
      <c r="E165" s="75"/>
      <c r="F165" s="76"/>
      <c r="G165" s="78"/>
      <c r="H165" s="77"/>
      <c r="I165" s="77"/>
      <c r="J165" s="109"/>
      <c r="K165" s="126"/>
      <c r="L165" s="116"/>
      <c r="M165" s="115"/>
      <c r="N165" s="67"/>
      <c r="O165" s="130"/>
      <c r="P165" s="6"/>
      <c r="Q165" s="16"/>
      <c r="R165" s="9"/>
      <c r="S165" s="97"/>
      <c r="T165" s="90"/>
      <c r="U165" s="90"/>
      <c r="V165" s="91"/>
      <c r="W165" s="25"/>
    </row>
    <row r="166" spans="1:23" x14ac:dyDescent="0.25">
      <c r="A166" s="42"/>
      <c r="B166" s="42"/>
      <c r="C166" s="42"/>
      <c r="D166" s="84"/>
      <c r="E166" s="75"/>
      <c r="F166" s="76"/>
      <c r="G166" s="78"/>
      <c r="H166" s="77"/>
      <c r="I166" s="77"/>
      <c r="J166" s="109"/>
      <c r="K166" s="126"/>
      <c r="L166" s="116"/>
      <c r="M166" s="115"/>
      <c r="N166" s="67"/>
      <c r="O166" s="130"/>
      <c r="P166" s="6"/>
      <c r="Q166" s="16"/>
      <c r="R166" s="9"/>
      <c r="S166" s="97"/>
      <c r="T166" s="90"/>
      <c r="U166" s="90"/>
      <c r="V166" s="91"/>
      <c r="W166" s="25"/>
    </row>
    <row r="167" spans="1:23" x14ac:dyDescent="0.25">
      <c r="A167" s="42"/>
      <c r="B167" s="42"/>
      <c r="C167" s="42"/>
      <c r="D167" s="84"/>
      <c r="E167" s="75"/>
      <c r="F167" s="76"/>
      <c r="G167" s="78"/>
      <c r="H167" s="77"/>
      <c r="I167" s="77"/>
      <c r="J167" s="109"/>
      <c r="K167" s="126"/>
      <c r="L167" s="116"/>
      <c r="M167" s="115"/>
      <c r="N167" s="67"/>
      <c r="O167" s="130"/>
      <c r="P167" s="6"/>
      <c r="Q167" s="146"/>
      <c r="R167" s="8"/>
      <c r="S167" s="13"/>
      <c r="T167" s="90"/>
      <c r="U167" s="90"/>
      <c r="V167" s="91"/>
      <c r="W167" s="25"/>
    </row>
    <row r="168" spans="1:23" x14ac:dyDescent="0.25">
      <c r="A168" s="42"/>
      <c r="B168" s="42"/>
      <c r="C168" s="42"/>
      <c r="D168" s="84"/>
      <c r="E168" s="75"/>
      <c r="F168" s="76"/>
      <c r="G168" s="78"/>
      <c r="H168" s="77"/>
      <c r="I168" s="77"/>
      <c r="J168" s="109"/>
      <c r="K168" s="126"/>
      <c r="L168" s="116"/>
      <c r="M168" s="110"/>
      <c r="N168" s="65"/>
      <c r="O168" s="173"/>
      <c r="P168" s="6"/>
      <c r="Q168" s="146"/>
      <c r="R168" s="93"/>
      <c r="S168" s="97"/>
      <c r="T168" s="90"/>
      <c r="U168" s="90"/>
      <c r="V168" s="91"/>
      <c r="W168" s="25"/>
    </row>
    <row r="169" spans="1:23" x14ac:dyDescent="0.25">
      <c r="A169" s="42"/>
      <c r="B169" s="42"/>
      <c r="C169" s="42"/>
      <c r="D169" s="84"/>
      <c r="E169" s="75"/>
      <c r="F169" s="76"/>
      <c r="G169" s="73"/>
      <c r="H169" s="77"/>
      <c r="I169" s="77"/>
      <c r="J169" s="109"/>
      <c r="K169" s="126"/>
      <c r="L169" s="116"/>
      <c r="M169" s="110"/>
      <c r="N169" s="65"/>
      <c r="O169" s="173"/>
      <c r="P169" s="6"/>
      <c r="Q169" s="146"/>
      <c r="R169" s="93"/>
      <c r="S169" s="97"/>
      <c r="T169" s="90"/>
      <c r="U169" s="90"/>
      <c r="V169" s="91"/>
      <c r="W169" s="25"/>
    </row>
    <row r="170" spans="1:23" x14ac:dyDescent="0.25">
      <c r="A170" s="42"/>
      <c r="B170" s="42"/>
      <c r="C170" s="42"/>
      <c r="D170" s="84"/>
      <c r="E170" s="79"/>
      <c r="F170" s="74"/>
      <c r="G170" s="78"/>
      <c r="H170" s="77"/>
      <c r="I170" s="77"/>
      <c r="J170" s="109"/>
      <c r="K170" s="126"/>
      <c r="L170" s="116"/>
      <c r="M170" s="110"/>
      <c r="N170" s="65"/>
      <c r="O170" s="173"/>
      <c r="P170" s="6"/>
      <c r="Q170" s="146"/>
      <c r="R170" s="9"/>
      <c r="S170" s="97"/>
      <c r="T170" s="90"/>
      <c r="U170" s="90"/>
      <c r="V170" s="91"/>
      <c r="W170" s="25"/>
    </row>
    <row r="171" spans="1:23" x14ac:dyDescent="0.25">
      <c r="A171" s="42"/>
      <c r="B171" s="42"/>
      <c r="C171" s="42"/>
      <c r="D171" s="84"/>
      <c r="E171" s="79"/>
      <c r="F171" s="74"/>
      <c r="G171" s="79"/>
      <c r="H171" s="74"/>
      <c r="I171" s="77"/>
      <c r="J171" s="109"/>
      <c r="K171" s="126"/>
      <c r="L171" s="116"/>
      <c r="M171" s="110"/>
      <c r="N171" s="65"/>
      <c r="O171" s="173"/>
      <c r="P171" s="6"/>
      <c r="Q171" s="146"/>
      <c r="R171" s="9"/>
      <c r="S171" s="97"/>
      <c r="T171" s="90"/>
      <c r="U171" s="90"/>
      <c r="V171" s="91"/>
      <c r="W171" s="25"/>
    </row>
    <row r="172" spans="1:23" x14ac:dyDescent="0.25">
      <c r="A172" s="42"/>
      <c r="B172" s="42"/>
      <c r="C172" s="42"/>
      <c r="D172" s="84"/>
      <c r="E172" s="79"/>
      <c r="F172" s="74"/>
      <c r="G172" s="79"/>
      <c r="H172" s="74"/>
      <c r="I172" s="77"/>
      <c r="J172" s="109"/>
      <c r="K172" s="126"/>
      <c r="L172" s="116"/>
      <c r="M172" s="110"/>
      <c r="N172" s="65"/>
      <c r="O172" s="173"/>
      <c r="P172" s="6"/>
      <c r="Q172" s="16"/>
      <c r="R172" s="9"/>
      <c r="S172" s="97"/>
      <c r="T172" s="90"/>
      <c r="U172" s="90"/>
      <c r="V172" s="91"/>
      <c r="W172" s="25"/>
    </row>
    <row r="173" spans="1:23" x14ac:dyDescent="0.25">
      <c r="A173" s="42"/>
      <c r="B173" s="42"/>
      <c r="C173" s="42"/>
      <c r="D173" s="84"/>
      <c r="E173" s="79"/>
      <c r="F173" s="74"/>
      <c r="G173" s="78"/>
      <c r="H173" s="77"/>
      <c r="I173" s="77"/>
      <c r="J173" s="109"/>
      <c r="K173" s="126"/>
      <c r="L173" s="116"/>
      <c r="M173" s="115"/>
      <c r="N173" s="67"/>
      <c r="O173" s="130"/>
      <c r="P173" s="6"/>
      <c r="Q173" s="16"/>
      <c r="R173" s="9"/>
      <c r="S173" s="97"/>
      <c r="T173" s="90"/>
      <c r="U173" s="90"/>
      <c r="V173" s="91"/>
      <c r="W173" s="25"/>
    </row>
    <row r="174" spans="1:23" x14ac:dyDescent="0.25">
      <c r="A174" s="42"/>
      <c r="B174" s="42"/>
      <c r="C174" s="42"/>
      <c r="D174" s="84"/>
      <c r="E174" s="75"/>
      <c r="F174" s="76"/>
      <c r="G174" s="78"/>
      <c r="H174" s="77"/>
      <c r="I174" s="77"/>
      <c r="J174" s="109"/>
      <c r="K174" s="126"/>
      <c r="L174" s="116"/>
      <c r="M174" s="115"/>
      <c r="N174" s="67"/>
      <c r="O174" s="130"/>
      <c r="P174" s="6"/>
      <c r="Q174" s="146"/>
      <c r="R174" s="9"/>
      <c r="S174" s="97"/>
      <c r="T174" s="90"/>
      <c r="U174" s="90"/>
      <c r="V174" s="91"/>
      <c r="W174" s="25"/>
    </row>
    <row r="175" spans="1:23" x14ac:dyDescent="0.25">
      <c r="A175" s="42"/>
      <c r="B175" s="42"/>
      <c r="C175" s="42"/>
      <c r="D175" s="84"/>
      <c r="E175" s="75"/>
      <c r="F175" s="76"/>
      <c r="G175" s="79"/>
      <c r="H175" s="74"/>
      <c r="I175" s="77"/>
      <c r="J175" s="109"/>
      <c r="K175" s="126"/>
      <c r="L175" s="116"/>
      <c r="M175" s="115"/>
      <c r="N175" s="67"/>
      <c r="O175" s="130"/>
      <c r="P175" s="6"/>
      <c r="Q175" s="16"/>
      <c r="R175" s="9"/>
      <c r="S175" s="13"/>
      <c r="T175" s="90"/>
      <c r="U175" s="90"/>
      <c r="V175" s="91"/>
      <c r="W175" s="25"/>
    </row>
    <row r="176" spans="1:23" x14ac:dyDescent="0.25">
      <c r="A176" s="42"/>
      <c r="B176" s="42"/>
      <c r="C176" s="42"/>
      <c r="D176" s="84"/>
      <c r="E176" s="75"/>
      <c r="F176" s="76"/>
      <c r="G176" s="78"/>
      <c r="H176" s="77"/>
      <c r="I176" s="77"/>
      <c r="J176" s="109"/>
      <c r="K176" s="126"/>
      <c r="L176" s="116"/>
      <c r="M176" s="115"/>
      <c r="N176" s="67"/>
      <c r="O176" s="130"/>
      <c r="P176" s="6"/>
      <c r="Q176" s="16"/>
      <c r="R176" s="9"/>
      <c r="S176" s="97"/>
      <c r="T176" s="90"/>
      <c r="U176" s="90"/>
      <c r="V176" s="91"/>
      <c r="W176" s="25"/>
    </row>
    <row r="177" spans="1:23" x14ac:dyDescent="0.25">
      <c r="A177" s="42"/>
      <c r="B177" s="42"/>
      <c r="C177" s="42"/>
      <c r="D177" s="84"/>
      <c r="E177" s="75"/>
      <c r="F177" s="76"/>
      <c r="G177" s="79"/>
      <c r="H177" s="74"/>
      <c r="I177" s="77"/>
      <c r="J177" s="109"/>
      <c r="K177" s="126"/>
      <c r="L177" s="116"/>
      <c r="M177" s="115"/>
      <c r="N177" s="67"/>
      <c r="O177" s="130"/>
      <c r="P177" s="6"/>
      <c r="Q177" s="16"/>
      <c r="R177" s="8"/>
      <c r="S177" s="97"/>
      <c r="T177" s="90"/>
      <c r="U177" s="90"/>
      <c r="V177" s="91"/>
      <c r="W177" s="25"/>
    </row>
    <row r="178" spans="1:23" x14ac:dyDescent="0.25">
      <c r="A178" s="42"/>
      <c r="B178" s="42"/>
      <c r="C178" s="42"/>
      <c r="D178" s="84"/>
      <c r="E178" s="75"/>
      <c r="F178" s="76"/>
      <c r="G178" s="79"/>
      <c r="H178" s="74"/>
      <c r="I178" s="77"/>
      <c r="J178" s="109"/>
      <c r="K178" s="126"/>
      <c r="L178" s="116"/>
      <c r="M178" s="115"/>
      <c r="N178" s="67"/>
      <c r="O178" s="130"/>
      <c r="P178" s="6"/>
      <c r="Q178" s="16"/>
      <c r="R178" s="93"/>
      <c r="S178" s="97"/>
      <c r="T178" s="90"/>
      <c r="U178" s="90"/>
      <c r="V178" s="91"/>
      <c r="W178" s="25"/>
    </row>
    <row r="179" spans="1:23" x14ac:dyDescent="0.25">
      <c r="A179" s="42"/>
      <c r="B179" s="42"/>
      <c r="C179" s="42"/>
      <c r="D179" s="84"/>
      <c r="E179" s="75"/>
      <c r="F179" s="76"/>
      <c r="G179" s="78"/>
      <c r="H179" s="77"/>
      <c r="I179" s="77"/>
      <c r="J179" s="109"/>
      <c r="K179" s="126"/>
      <c r="L179" s="116"/>
      <c r="M179" s="110"/>
      <c r="N179" s="65"/>
      <c r="O179" s="173"/>
      <c r="P179" s="6"/>
      <c r="Q179" s="146"/>
      <c r="R179" s="8"/>
      <c r="S179" s="97"/>
      <c r="T179" s="90"/>
      <c r="U179" s="90"/>
      <c r="V179" s="91"/>
      <c r="W179" s="25"/>
    </row>
    <row r="180" spans="1:23" x14ac:dyDescent="0.25">
      <c r="A180" s="42"/>
      <c r="B180" s="42"/>
      <c r="C180" s="42"/>
      <c r="D180" s="84"/>
      <c r="E180" s="79"/>
      <c r="F180" s="74"/>
      <c r="G180" s="78"/>
      <c r="H180" s="77"/>
      <c r="I180" s="77"/>
      <c r="J180" s="109"/>
      <c r="K180" s="126"/>
      <c r="L180" s="116"/>
      <c r="M180" s="110"/>
      <c r="N180" s="65"/>
      <c r="O180" s="173"/>
      <c r="P180" s="6"/>
      <c r="Q180" s="146"/>
      <c r="R180" s="93"/>
      <c r="S180" s="13"/>
      <c r="T180" s="90"/>
      <c r="U180" s="90"/>
      <c r="V180" s="91"/>
      <c r="W180" s="25"/>
    </row>
    <row r="181" spans="1:23" x14ac:dyDescent="0.25">
      <c r="A181" s="42"/>
      <c r="B181" s="42"/>
      <c r="C181" s="42"/>
      <c r="D181" s="84"/>
      <c r="E181" s="79"/>
      <c r="F181" s="74"/>
      <c r="G181" s="78"/>
      <c r="H181" s="77"/>
      <c r="I181" s="77"/>
      <c r="J181" s="109"/>
      <c r="K181" s="126"/>
      <c r="L181" s="116"/>
      <c r="M181" s="115"/>
      <c r="N181" s="67"/>
      <c r="O181" s="130"/>
      <c r="P181" s="6"/>
      <c r="Q181" s="16"/>
      <c r="R181" s="9"/>
      <c r="S181" s="97"/>
      <c r="T181" s="90"/>
      <c r="U181" s="90"/>
      <c r="V181" s="91"/>
      <c r="W181" s="25"/>
    </row>
    <row r="182" spans="1:23" x14ac:dyDescent="0.25">
      <c r="A182" s="42"/>
      <c r="B182" s="42"/>
      <c r="C182" s="42"/>
      <c r="D182" s="84"/>
      <c r="E182" s="75"/>
      <c r="F182" s="76"/>
      <c r="G182" s="78"/>
      <c r="H182" s="77"/>
      <c r="I182" s="77"/>
      <c r="J182" s="109"/>
      <c r="K182" s="126"/>
      <c r="L182" s="116"/>
      <c r="M182" s="110"/>
      <c r="N182" s="65"/>
      <c r="O182" s="173"/>
      <c r="P182" s="6"/>
      <c r="Q182" s="146"/>
      <c r="R182" s="9"/>
      <c r="S182" s="97"/>
      <c r="T182" s="90"/>
      <c r="U182" s="90"/>
      <c r="V182" s="91"/>
      <c r="W182" s="25"/>
    </row>
    <row r="183" spans="1:23" x14ac:dyDescent="0.25">
      <c r="A183" s="42"/>
      <c r="B183" s="42"/>
      <c r="C183" s="42"/>
      <c r="D183" s="84"/>
      <c r="E183" s="79"/>
      <c r="F183" s="74"/>
      <c r="G183" s="78"/>
      <c r="H183" s="77"/>
      <c r="I183" s="77"/>
      <c r="J183" s="109"/>
      <c r="K183" s="126"/>
      <c r="L183" s="116"/>
      <c r="M183" s="115"/>
      <c r="N183" s="67"/>
      <c r="O183" s="173"/>
      <c r="P183" s="6"/>
      <c r="Q183" s="146"/>
      <c r="R183" s="8"/>
      <c r="S183" s="97"/>
      <c r="T183" s="90"/>
      <c r="U183" s="90"/>
      <c r="V183" s="91"/>
      <c r="W183" s="25"/>
    </row>
    <row r="184" spans="1:23" x14ac:dyDescent="0.25">
      <c r="A184" s="42"/>
      <c r="B184" s="42"/>
      <c r="C184" s="42"/>
      <c r="D184" s="84"/>
      <c r="E184" s="75"/>
      <c r="F184" s="76"/>
      <c r="G184" s="79"/>
      <c r="H184" s="74"/>
      <c r="I184" s="74"/>
      <c r="J184" s="105"/>
      <c r="K184" s="126"/>
      <c r="L184" s="117"/>
      <c r="M184" s="115"/>
      <c r="N184" s="67"/>
      <c r="O184" s="130"/>
      <c r="P184" s="6"/>
      <c r="Q184" s="16"/>
      <c r="R184" s="8"/>
      <c r="S184" s="97"/>
      <c r="T184" s="90"/>
      <c r="U184" s="90"/>
      <c r="V184" s="91"/>
      <c r="W184" s="25"/>
    </row>
    <row r="185" spans="1:23" x14ac:dyDescent="0.25">
      <c r="A185" s="42"/>
      <c r="B185" s="42"/>
      <c r="C185" s="42"/>
      <c r="D185" s="84"/>
      <c r="E185" s="75"/>
      <c r="F185" s="76"/>
      <c r="G185" s="75"/>
      <c r="H185" s="76"/>
      <c r="I185" s="77"/>
      <c r="J185" s="109"/>
      <c r="K185" s="126"/>
      <c r="L185" s="116"/>
      <c r="M185" s="115"/>
      <c r="N185" s="67"/>
      <c r="O185" s="130"/>
      <c r="P185" s="6"/>
      <c r="Q185" s="16"/>
      <c r="R185" s="8"/>
      <c r="S185" s="13"/>
      <c r="T185" s="90"/>
      <c r="U185" s="90"/>
      <c r="V185" s="91"/>
      <c r="W185" s="25"/>
    </row>
    <row r="186" spans="1:23" x14ac:dyDescent="0.25">
      <c r="A186" s="42"/>
      <c r="B186" s="42"/>
      <c r="C186" s="42"/>
      <c r="D186" s="84"/>
      <c r="E186" s="75"/>
      <c r="F186" s="76"/>
      <c r="G186" s="75"/>
      <c r="H186" s="76"/>
      <c r="I186" s="77"/>
      <c r="J186" s="109"/>
      <c r="K186" s="126"/>
      <c r="L186" s="116"/>
      <c r="M186" s="115"/>
      <c r="N186" s="67"/>
      <c r="O186" s="130"/>
      <c r="P186" s="6"/>
      <c r="Q186" s="16"/>
      <c r="R186" s="9"/>
      <c r="S186" s="13"/>
      <c r="T186" s="90"/>
      <c r="U186" s="90"/>
      <c r="V186" s="91"/>
      <c r="W186" s="25"/>
    </row>
    <row r="187" spans="1:23" x14ac:dyDescent="0.25">
      <c r="A187" s="42"/>
      <c r="B187" s="42"/>
      <c r="C187" s="42"/>
      <c r="D187" s="84"/>
      <c r="E187" s="75"/>
      <c r="F187" s="76"/>
      <c r="G187" s="78"/>
      <c r="H187" s="77"/>
      <c r="I187" s="77"/>
      <c r="J187" s="109"/>
      <c r="K187" s="126"/>
      <c r="L187" s="116"/>
      <c r="M187" s="115"/>
      <c r="N187" s="67"/>
      <c r="O187" s="173"/>
      <c r="P187" s="6"/>
      <c r="Q187" s="16"/>
      <c r="R187" s="9"/>
      <c r="S187" s="13"/>
      <c r="T187" s="90"/>
      <c r="U187" s="90"/>
      <c r="V187" s="91"/>
      <c r="W187" s="25"/>
    </row>
    <row r="188" spans="1:23" x14ac:dyDescent="0.25">
      <c r="A188" s="42"/>
      <c r="B188" s="42"/>
      <c r="C188" s="42"/>
      <c r="D188" s="84"/>
      <c r="E188" s="75"/>
      <c r="F188" s="76"/>
      <c r="G188" s="78"/>
      <c r="H188" s="77"/>
      <c r="I188" s="77"/>
      <c r="J188" s="109"/>
      <c r="K188" s="126"/>
      <c r="L188" s="116"/>
      <c r="M188" s="115"/>
      <c r="N188" s="67"/>
      <c r="O188" s="173"/>
      <c r="P188" s="6"/>
      <c r="Q188" s="16"/>
      <c r="R188" s="93"/>
      <c r="S188" s="13"/>
      <c r="T188" s="90"/>
      <c r="U188" s="90"/>
      <c r="V188" s="91"/>
      <c r="W188" s="25"/>
    </row>
    <row r="189" spans="1:23" x14ac:dyDescent="0.25">
      <c r="A189" s="42"/>
      <c r="B189" s="42"/>
      <c r="C189" s="42"/>
      <c r="D189" s="84"/>
      <c r="E189" s="75"/>
      <c r="F189" s="76"/>
      <c r="G189" s="79"/>
      <c r="H189" s="74"/>
      <c r="I189" s="74"/>
      <c r="J189" s="105"/>
      <c r="K189" s="126"/>
      <c r="L189" s="117"/>
      <c r="M189" s="114"/>
      <c r="N189" s="66"/>
      <c r="O189" s="127"/>
      <c r="P189" s="6"/>
      <c r="Q189" s="16"/>
      <c r="R189" s="93"/>
      <c r="S189" s="97"/>
      <c r="T189" s="90"/>
      <c r="U189" s="90"/>
      <c r="V189" s="91"/>
      <c r="W189" s="25"/>
    </row>
    <row r="190" spans="1:23" x14ac:dyDescent="0.25">
      <c r="A190" s="42"/>
      <c r="B190" s="42"/>
      <c r="C190" s="42"/>
      <c r="D190" s="84"/>
      <c r="E190" s="75"/>
      <c r="F190" s="76"/>
      <c r="G190" s="75"/>
      <c r="H190" s="76"/>
      <c r="I190" s="77"/>
      <c r="J190" s="109"/>
      <c r="K190" s="126"/>
      <c r="L190" s="116"/>
      <c r="M190" s="114"/>
      <c r="N190" s="66"/>
      <c r="O190" s="127"/>
      <c r="P190" s="6"/>
      <c r="Q190" s="146"/>
      <c r="R190" s="8"/>
      <c r="S190" s="13"/>
      <c r="T190" s="90"/>
      <c r="U190" s="90"/>
      <c r="V190" s="91"/>
      <c r="W190" s="25"/>
    </row>
    <row r="191" spans="1:23" x14ac:dyDescent="0.25">
      <c r="A191" s="42"/>
      <c r="B191" s="42"/>
      <c r="C191" s="42"/>
      <c r="D191" s="84"/>
      <c r="E191" s="75"/>
      <c r="F191" s="76"/>
      <c r="G191" s="79"/>
      <c r="H191" s="74"/>
      <c r="I191" s="74"/>
      <c r="J191" s="105"/>
      <c r="K191" s="126"/>
      <c r="L191" s="117"/>
      <c r="M191" s="114"/>
      <c r="N191" s="66"/>
      <c r="O191" s="127"/>
      <c r="P191" s="6"/>
      <c r="Q191" s="16"/>
      <c r="R191" s="9"/>
      <c r="S191" s="13"/>
      <c r="T191" s="90"/>
      <c r="U191" s="90"/>
      <c r="V191" s="91"/>
      <c r="W191" s="25"/>
    </row>
    <row r="192" spans="1:23" x14ac:dyDescent="0.25">
      <c r="A192" s="42"/>
      <c r="B192" s="42"/>
      <c r="C192" s="42"/>
      <c r="D192" s="84"/>
      <c r="E192" s="75"/>
      <c r="F192" s="76"/>
      <c r="G192" s="75"/>
      <c r="H192" s="76"/>
      <c r="I192" s="75"/>
      <c r="J192" s="111"/>
      <c r="K192" s="126"/>
      <c r="L192" s="118"/>
      <c r="M192" s="115"/>
      <c r="N192" s="67"/>
      <c r="O192" s="173"/>
      <c r="P192" s="6"/>
      <c r="Q192" s="16"/>
      <c r="R192" s="8"/>
      <c r="S192" s="13"/>
      <c r="T192" s="90"/>
      <c r="U192" s="90"/>
      <c r="V192" s="91"/>
      <c r="W192" s="25"/>
    </row>
    <row r="193" spans="1:23" x14ac:dyDescent="0.25">
      <c r="A193" s="42"/>
      <c r="B193" s="42"/>
      <c r="C193" s="42"/>
      <c r="D193" s="84"/>
      <c r="E193" s="75"/>
      <c r="F193" s="76"/>
      <c r="G193" s="79"/>
      <c r="H193" s="74"/>
      <c r="I193" s="74"/>
      <c r="J193" s="105"/>
      <c r="K193" s="126"/>
      <c r="L193" s="117"/>
      <c r="M193" s="115"/>
      <c r="N193" s="67"/>
      <c r="O193" s="130"/>
      <c r="P193" s="6"/>
      <c r="Q193" s="16"/>
      <c r="R193" s="93"/>
      <c r="S193" s="13"/>
      <c r="T193" s="90"/>
      <c r="U193" s="90"/>
      <c r="V193" s="91"/>
      <c r="W193" s="25"/>
    </row>
    <row r="194" spans="1:23" x14ac:dyDescent="0.25">
      <c r="A194" s="42"/>
      <c r="B194" s="42"/>
      <c r="C194" s="42"/>
      <c r="D194" s="84"/>
      <c r="E194" s="75"/>
      <c r="F194" s="76"/>
      <c r="G194" s="78"/>
      <c r="H194" s="77"/>
      <c r="I194" s="77"/>
      <c r="J194" s="109"/>
      <c r="K194" s="126"/>
      <c r="L194" s="116"/>
      <c r="M194" s="115"/>
      <c r="N194" s="67"/>
      <c r="O194" s="130"/>
      <c r="P194" s="6"/>
      <c r="Q194" s="16"/>
      <c r="R194" s="8"/>
      <c r="S194" s="97"/>
      <c r="T194" s="90"/>
      <c r="U194" s="90"/>
      <c r="V194" s="91"/>
      <c r="W194" s="25"/>
    </row>
    <row r="195" spans="1:23" x14ac:dyDescent="0.25">
      <c r="A195" s="42"/>
      <c r="B195" s="42"/>
      <c r="C195" s="42"/>
      <c r="D195" s="84"/>
      <c r="E195" s="75"/>
      <c r="F195" s="76"/>
      <c r="G195" s="78"/>
      <c r="H195" s="77"/>
      <c r="I195" s="77"/>
      <c r="J195" s="109"/>
      <c r="K195" s="126"/>
      <c r="L195" s="116"/>
      <c r="M195" s="115"/>
      <c r="N195" s="67"/>
      <c r="O195" s="130"/>
      <c r="P195" s="6"/>
      <c r="Q195" s="16"/>
      <c r="R195" s="93"/>
      <c r="S195" s="97"/>
      <c r="T195" s="90"/>
      <c r="U195" s="90"/>
      <c r="V195" s="91"/>
      <c r="W195" s="25"/>
    </row>
    <row r="196" spans="1:23" x14ac:dyDescent="0.25">
      <c r="A196" s="42"/>
      <c r="B196" s="42"/>
      <c r="C196" s="42"/>
      <c r="D196" s="84"/>
      <c r="E196" s="75"/>
      <c r="F196" s="76"/>
      <c r="G196" s="75"/>
      <c r="H196" s="76"/>
      <c r="I196" s="77"/>
      <c r="J196" s="109"/>
      <c r="K196" s="126"/>
      <c r="L196" s="116"/>
      <c r="M196" s="115"/>
      <c r="N196" s="67"/>
      <c r="O196" s="173"/>
      <c r="P196" s="6"/>
      <c r="Q196" s="16"/>
      <c r="R196" s="9"/>
      <c r="S196" s="97"/>
      <c r="T196" s="90"/>
      <c r="U196" s="90"/>
      <c r="V196" s="91"/>
      <c r="W196" s="25"/>
    </row>
    <row r="197" spans="1:23" x14ac:dyDescent="0.25">
      <c r="A197" s="42"/>
      <c r="B197" s="42"/>
      <c r="C197" s="42"/>
      <c r="D197" s="84"/>
      <c r="E197" s="75"/>
      <c r="F197" s="76"/>
      <c r="G197" s="79"/>
      <c r="H197" s="74"/>
      <c r="I197" s="74"/>
      <c r="J197" s="105"/>
      <c r="K197" s="126"/>
      <c r="L197" s="117"/>
      <c r="M197" s="115"/>
      <c r="N197" s="67"/>
      <c r="O197" s="173"/>
      <c r="P197" s="6"/>
      <c r="Q197" s="146"/>
      <c r="R197" s="93"/>
      <c r="S197" s="13"/>
      <c r="T197" s="90"/>
      <c r="U197" s="90"/>
      <c r="V197" s="91"/>
      <c r="W197" s="25"/>
    </row>
    <row r="198" spans="1:23" x14ac:dyDescent="0.25">
      <c r="A198" s="42"/>
      <c r="B198" s="42"/>
      <c r="C198" s="42"/>
      <c r="D198" s="84"/>
      <c r="E198" s="75"/>
      <c r="F198" s="76"/>
      <c r="G198" s="78"/>
      <c r="H198" s="77"/>
      <c r="I198" s="77"/>
      <c r="J198" s="109"/>
      <c r="K198" s="126"/>
      <c r="L198" s="116"/>
      <c r="M198" s="115"/>
      <c r="N198" s="67"/>
      <c r="O198" s="130"/>
      <c r="P198" s="6"/>
      <c r="Q198" s="16"/>
      <c r="R198" s="8"/>
      <c r="S198" s="97"/>
      <c r="T198" s="90"/>
      <c r="U198" s="90"/>
      <c r="V198" s="91"/>
      <c r="W198" s="25"/>
    </row>
    <row r="199" spans="1:23" x14ac:dyDescent="0.25">
      <c r="A199" s="42"/>
      <c r="B199" s="42"/>
      <c r="C199" s="42"/>
      <c r="D199" s="84"/>
      <c r="E199" s="75"/>
      <c r="F199" s="76"/>
      <c r="G199" s="78"/>
      <c r="H199" s="77"/>
      <c r="I199" s="77"/>
      <c r="J199" s="109"/>
      <c r="K199" s="126"/>
      <c r="L199" s="116"/>
      <c r="M199" s="115"/>
      <c r="N199" s="67"/>
      <c r="O199" s="130"/>
      <c r="P199" s="6"/>
      <c r="Q199" s="16"/>
      <c r="R199" s="93"/>
      <c r="S199" s="13"/>
      <c r="T199" s="90"/>
      <c r="U199" s="90"/>
      <c r="V199" s="91"/>
      <c r="W199" s="25"/>
    </row>
    <row r="200" spans="1:23" x14ac:dyDescent="0.25">
      <c r="A200" s="42"/>
      <c r="B200" s="42"/>
      <c r="C200" s="42"/>
      <c r="D200" s="84"/>
      <c r="E200" s="75"/>
      <c r="F200" s="76"/>
      <c r="G200" s="78"/>
      <c r="H200" s="77"/>
      <c r="I200" s="77"/>
      <c r="J200" s="109"/>
      <c r="K200" s="126"/>
      <c r="L200" s="116"/>
      <c r="M200" s="115"/>
      <c r="N200" s="67"/>
      <c r="O200" s="173"/>
      <c r="P200" s="6"/>
      <c r="Q200" s="146"/>
      <c r="R200" s="93"/>
      <c r="S200" s="97"/>
      <c r="T200" s="90"/>
      <c r="U200" s="90"/>
      <c r="V200" s="91"/>
      <c r="W200" s="25"/>
    </row>
    <row r="201" spans="1:23" x14ac:dyDescent="0.25">
      <c r="A201" s="42"/>
      <c r="B201" s="42"/>
      <c r="C201" s="42"/>
      <c r="D201" s="84"/>
      <c r="E201" s="75"/>
      <c r="F201" s="76"/>
      <c r="G201" s="78"/>
      <c r="H201" s="77"/>
      <c r="I201" s="77"/>
      <c r="J201" s="109"/>
      <c r="K201" s="126"/>
      <c r="L201" s="116"/>
      <c r="M201" s="115"/>
      <c r="N201" s="67"/>
      <c r="O201" s="130"/>
      <c r="P201" s="6"/>
      <c r="Q201" s="146"/>
      <c r="R201" s="9"/>
      <c r="S201" s="97"/>
      <c r="T201" s="90"/>
      <c r="U201" s="90"/>
      <c r="V201" s="91"/>
      <c r="W201" s="25"/>
    </row>
    <row r="202" spans="1:23" x14ac:dyDescent="0.25">
      <c r="A202" s="42"/>
      <c r="B202" s="42"/>
      <c r="C202" s="42"/>
      <c r="D202" s="84"/>
      <c r="E202" s="75"/>
      <c r="F202" s="76"/>
      <c r="G202" s="78"/>
      <c r="H202" s="77"/>
      <c r="I202" s="77"/>
      <c r="J202" s="109"/>
      <c r="K202" s="126"/>
      <c r="L202" s="116"/>
      <c r="M202" s="115"/>
      <c r="N202" s="67"/>
      <c r="O202" s="130"/>
      <c r="P202" s="6"/>
      <c r="Q202" s="16"/>
      <c r="R202" s="9"/>
      <c r="S202" s="13"/>
      <c r="T202" s="90"/>
      <c r="U202" s="90"/>
      <c r="V202" s="91"/>
      <c r="W202" s="25"/>
    </row>
    <row r="203" spans="1:23" x14ac:dyDescent="0.25">
      <c r="A203" s="42"/>
      <c r="B203" s="42"/>
      <c r="C203" s="42"/>
      <c r="D203" s="84"/>
      <c r="E203" s="75"/>
      <c r="F203" s="76"/>
      <c r="G203" s="78"/>
      <c r="H203" s="77"/>
      <c r="I203" s="77"/>
      <c r="J203" s="109"/>
      <c r="K203" s="126"/>
      <c r="L203" s="116"/>
      <c r="M203" s="115"/>
      <c r="N203" s="67"/>
      <c r="O203" s="130"/>
      <c r="P203" s="6"/>
      <c r="Q203" s="16"/>
      <c r="R203" s="9"/>
      <c r="S203" s="97"/>
      <c r="T203" s="90"/>
      <c r="U203" s="90"/>
      <c r="V203" s="91"/>
      <c r="W203" s="25"/>
    </row>
    <row r="204" spans="1:23" x14ac:dyDescent="0.25">
      <c r="A204" s="42"/>
      <c r="B204" s="42"/>
      <c r="C204" s="42"/>
      <c r="D204" s="84"/>
      <c r="E204" s="75"/>
      <c r="F204" s="76"/>
      <c r="G204" s="79"/>
      <c r="H204" s="74"/>
      <c r="I204" s="74"/>
      <c r="J204" s="105"/>
      <c r="K204" s="126"/>
      <c r="L204" s="117"/>
      <c r="M204" s="115"/>
      <c r="N204" s="67"/>
      <c r="O204" s="130"/>
      <c r="P204" s="6"/>
      <c r="Q204" s="16"/>
      <c r="R204" s="9"/>
      <c r="S204" s="13"/>
      <c r="T204" s="90"/>
      <c r="U204" s="90"/>
      <c r="V204" s="91"/>
      <c r="W204" s="25"/>
    </row>
    <row r="205" spans="1:23" x14ac:dyDescent="0.25">
      <c r="A205" s="42"/>
      <c r="B205" s="42"/>
      <c r="C205" s="42"/>
      <c r="D205" s="84"/>
      <c r="E205" s="75"/>
      <c r="F205" s="76"/>
      <c r="G205" s="78"/>
      <c r="H205" s="77"/>
      <c r="I205" s="77"/>
      <c r="J205" s="109"/>
      <c r="K205" s="126"/>
      <c r="L205" s="116"/>
      <c r="M205" s="115"/>
      <c r="N205" s="67"/>
      <c r="O205" s="130"/>
      <c r="P205" s="6"/>
      <c r="Q205" s="16"/>
      <c r="R205" s="9"/>
      <c r="S205" s="13"/>
      <c r="T205" s="90"/>
      <c r="U205" s="90"/>
      <c r="V205" s="91"/>
      <c r="W205" s="25"/>
    </row>
    <row r="206" spans="1:23" x14ac:dyDescent="0.25">
      <c r="A206" s="42"/>
      <c r="B206" s="42"/>
      <c r="C206" s="42"/>
      <c r="D206" s="84"/>
      <c r="E206" s="75"/>
      <c r="F206" s="76"/>
      <c r="G206" s="78"/>
      <c r="H206" s="77"/>
      <c r="I206" s="77"/>
      <c r="J206" s="109"/>
      <c r="K206" s="126"/>
      <c r="L206" s="116"/>
      <c r="M206" s="115"/>
      <c r="N206" s="67"/>
      <c r="O206" s="130"/>
      <c r="P206" s="6"/>
      <c r="Q206" s="16"/>
      <c r="R206" s="93"/>
      <c r="S206" s="97"/>
      <c r="T206" s="90"/>
      <c r="U206" s="90"/>
      <c r="V206" s="91"/>
      <c r="W206" s="25"/>
    </row>
    <row r="207" spans="1:23" x14ac:dyDescent="0.25">
      <c r="A207" s="42"/>
      <c r="B207" s="42"/>
      <c r="C207" s="42"/>
      <c r="D207" s="84"/>
      <c r="E207" s="79"/>
      <c r="F207" s="74"/>
      <c r="G207" s="79"/>
      <c r="H207" s="74"/>
      <c r="I207" s="74"/>
      <c r="J207" s="105"/>
      <c r="K207" s="126"/>
      <c r="L207" s="117"/>
      <c r="M207" s="115"/>
      <c r="N207" s="67"/>
      <c r="O207" s="130"/>
      <c r="P207" s="6"/>
      <c r="Q207" s="146"/>
      <c r="R207" s="8"/>
      <c r="S207" s="13"/>
      <c r="T207" s="90"/>
      <c r="U207" s="90"/>
      <c r="V207" s="91"/>
      <c r="W207" s="25"/>
    </row>
    <row r="208" spans="1:23" x14ac:dyDescent="0.25">
      <c r="A208" s="42"/>
      <c r="B208" s="42"/>
      <c r="C208" s="42"/>
      <c r="D208" s="84"/>
      <c r="E208" s="75"/>
      <c r="F208" s="76"/>
      <c r="G208" s="78"/>
      <c r="H208" s="77"/>
      <c r="I208" s="77"/>
      <c r="J208" s="109"/>
      <c r="K208" s="126"/>
      <c r="L208" s="116"/>
      <c r="M208" s="115"/>
      <c r="N208" s="67"/>
      <c r="O208" s="130"/>
      <c r="P208" s="6"/>
      <c r="Q208" s="16"/>
      <c r="R208" s="9"/>
      <c r="S208" s="13"/>
      <c r="T208" s="90"/>
      <c r="U208" s="90"/>
      <c r="V208" s="91"/>
      <c r="W208" s="25"/>
    </row>
    <row r="209" spans="1:23" x14ac:dyDescent="0.25">
      <c r="A209" s="42"/>
      <c r="B209" s="42"/>
      <c r="C209" s="42"/>
      <c r="D209" s="84"/>
      <c r="E209" s="75"/>
      <c r="F209" s="76"/>
      <c r="G209" s="75"/>
      <c r="H209" s="76"/>
      <c r="I209" s="77"/>
      <c r="J209" s="109"/>
      <c r="K209" s="126"/>
      <c r="L209" s="116"/>
      <c r="M209" s="115"/>
      <c r="N209" s="67"/>
      <c r="O209" s="173"/>
      <c r="P209" s="6"/>
      <c r="Q209" s="146"/>
      <c r="R209" s="8"/>
      <c r="S209" s="97"/>
      <c r="T209" s="90"/>
      <c r="U209" s="90"/>
      <c r="V209" s="91"/>
      <c r="W209" s="25"/>
    </row>
    <row r="210" spans="1:23" x14ac:dyDescent="0.25">
      <c r="A210" s="42"/>
      <c r="B210" s="42"/>
      <c r="C210" s="42"/>
      <c r="D210" s="84"/>
      <c r="E210" s="75"/>
      <c r="F210" s="76"/>
      <c r="G210" s="78"/>
      <c r="H210" s="77"/>
      <c r="I210" s="77"/>
      <c r="J210" s="109"/>
      <c r="K210" s="126"/>
      <c r="L210" s="116"/>
      <c r="M210" s="115"/>
      <c r="N210" s="67"/>
      <c r="O210" s="130"/>
      <c r="P210" s="6"/>
      <c r="Q210" s="16"/>
      <c r="R210" s="9"/>
      <c r="S210" s="13"/>
      <c r="T210" s="90"/>
      <c r="U210" s="90"/>
      <c r="V210" s="91"/>
      <c r="W210" s="25"/>
    </row>
    <row r="211" spans="1:23" x14ac:dyDescent="0.25">
      <c r="A211" s="42"/>
      <c r="B211" s="42"/>
      <c r="C211" s="42"/>
      <c r="D211" s="84"/>
      <c r="E211" s="75"/>
      <c r="F211" s="76"/>
      <c r="G211" s="79"/>
      <c r="H211" s="74"/>
      <c r="I211" s="74"/>
      <c r="J211" s="105"/>
      <c r="K211" s="126"/>
      <c r="L211" s="117"/>
      <c r="M211" s="115"/>
      <c r="N211" s="67"/>
      <c r="O211" s="130"/>
      <c r="P211" s="6"/>
      <c r="Q211" s="146"/>
      <c r="R211" s="8"/>
      <c r="S211" s="97"/>
      <c r="T211" s="90"/>
      <c r="U211" s="90"/>
      <c r="V211" s="91"/>
      <c r="W211" s="25"/>
    </row>
    <row r="212" spans="1:23" x14ac:dyDescent="0.25">
      <c r="A212" s="42"/>
      <c r="B212" s="42"/>
      <c r="C212" s="42"/>
      <c r="D212" s="84"/>
      <c r="E212" s="75"/>
      <c r="F212" s="76"/>
      <c r="G212" s="79"/>
      <c r="H212" s="74"/>
      <c r="I212" s="74"/>
      <c r="J212" s="105"/>
      <c r="K212" s="126"/>
      <c r="L212" s="117"/>
      <c r="M212" s="115"/>
      <c r="N212" s="67"/>
      <c r="O212" s="130"/>
      <c r="P212" s="6"/>
      <c r="Q212" s="16"/>
      <c r="R212" s="93"/>
      <c r="S212" s="13"/>
      <c r="T212" s="90"/>
      <c r="U212" s="90"/>
      <c r="V212" s="91"/>
      <c r="W212" s="25"/>
    </row>
    <row r="213" spans="1:23" x14ac:dyDescent="0.25">
      <c r="A213" s="42"/>
      <c r="B213" s="42"/>
      <c r="C213" s="42"/>
      <c r="D213" s="84"/>
      <c r="E213" s="75"/>
      <c r="F213" s="76"/>
      <c r="G213" s="78"/>
      <c r="H213" s="77"/>
      <c r="I213" s="77"/>
      <c r="J213" s="109"/>
      <c r="K213" s="126"/>
      <c r="L213" s="116"/>
      <c r="M213" s="110"/>
      <c r="N213" s="65"/>
      <c r="O213" s="173"/>
      <c r="P213" s="6"/>
      <c r="Q213" s="16"/>
      <c r="R213" s="9"/>
      <c r="S213" s="13"/>
      <c r="T213" s="90"/>
      <c r="U213" s="90"/>
      <c r="V213" s="91"/>
      <c r="W213" s="25"/>
    </row>
    <row r="214" spans="1:23" x14ac:dyDescent="0.25">
      <c r="A214" s="42"/>
      <c r="B214" s="42"/>
      <c r="C214" s="42"/>
      <c r="D214" s="84"/>
      <c r="E214" s="79"/>
      <c r="F214" s="74"/>
      <c r="G214" s="79"/>
      <c r="H214" s="74"/>
      <c r="I214" s="74"/>
      <c r="J214" s="105"/>
      <c r="K214" s="126"/>
      <c r="L214" s="117"/>
      <c r="M214" s="115"/>
      <c r="N214" s="67"/>
      <c r="O214" s="173"/>
      <c r="P214" s="6"/>
      <c r="Q214" s="16"/>
      <c r="R214" s="9"/>
      <c r="S214" s="97"/>
      <c r="T214" s="90"/>
      <c r="U214" s="90"/>
      <c r="V214" s="91"/>
      <c r="W214" s="25"/>
    </row>
    <row r="215" spans="1:23" x14ac:dyDescent="0.25">
      <c r="A215" s="42"/>
      <c r="B215" s="42"/>
      <c r="C215" s="42"/>
      <c r="D215" s="84"/>
      <c r="E215" s="75"/>
      <c r="F215" s="76"/>
      <c r="G215" s="78"/>
      <c r="H215" s="77"/>
      <c r="I215" s="77"/>
      <c r="J215" s="109"/>
      <c r="K215" s="126"/>
      <c r="L215" s="116"/>
      <c r="M215" s="114"/>
      <c r="N215" s="66"/>
      <c r="O215" s="127"/>
      <c r="P215" s="6"/>
      <c r="Q215" s="16"/>
      <c r="R215" s="9"/>
      <c r="S215" s="97"/>
      <c r="T215" s="90"/>
      <c r="U215" s="90"/>
      <c r="V215" s="91"/>
      <c r="W215" s="25"/>
    </row>
    <row r="216" spans="1:23" x14ac:dyDescent="0.25">
      <c r="A216" s="42"/>
      <c r="B216" s="42"/>
      <c r="C216" s="42"/>
      <c r="D216" s="84"/>
      <c r="E216" s="75"/>
      <c r="F216" s="76"/>
      <c r="G216" s="75"/>
      <c r="H216" s="76"/>
      <c r="I216" s="77"/>
      <c r="J216" s="109"/>
      <c r="K216" s="126"/>
      <c r="L216" s="116"/>
      <c r="M216" s="114"/>
      <c r="N216" s="66"/>
      <c r="O216" s="127"/>
      <c r="P216" s="6"/>
      <c r="Q216" s="16"/>
      <c r="R216" s="93"/>
      <c r="S216" s="13"/>
      <c r="T216" s="90"/>
      <c r="U216" s="90"/>
      <c r="V216" s="91"/>
      <c r="W216" s="25"/>
    </row>
    <row r="217" spans="1:23" x14ac:dyDescent="0.25">
      <c r="A217" s="42"/>
      <c r="B217" s="42"/>
      <c r="C217" s="42"/>
      <c r="D217" s="84"/>
      <c r="E217" s="75"/>
      <c r="F217" s="76"/>
      <c r="G217" s="78"/>
      <c r="H217" s="77"/>
      <c r="I217" s="77"/>
      <c r="J217" s="109"/>
      <c r="K217" s="126"/>
      <c r="L217" s="116"/>
      <c r="M217" s="114"/>
      <c r="N217" s="66"/>
      <c r="O217" s="127"/>
      <c r="P217" s="6"/>
      <c r="Q217" s="146"/>
      <c r="R217" s="93"/>
      <c r="S217" s="13"/>
      <c r="T217" s="90"/>
      <c r="U217" s="90"/>
      <c r="V217" s="91"/>
      <c r="W217" s="25"/>
    </row>
    <row r="218" spans="1:23" x14ac:dyDescent="0.25">
      <c r="A218" s="42"/>
      <c r="B218" s="42"/>
      <c r="C218" s="42"/>
      <c r="D218" s="84"/>
      <c r="E218" s="75"/>
      <c r="F218" s="76"/>
      <c r="G218" s="78"/>
      <c r="H218" s="77"/>
      <c r="I218" s="77"/>
      <c r="J218" s="109"/>
      <c r="K218" s="126"/>
      <c r="L218" s="116"/>
      <c r="M218" s="114"/>
      <c r="N218" s="66"/>
      <c r="O218" s="127"/>
      <c r="P218" s="6"/>
      <c r="Q218" s="16"/>
      <c r="R218" s="9"/>
      <c r="S218" s="13"/>
      <c r="T218" s="90"/>
      <c r="U218" s="90"/>
      <c r="V218" s="91"/>
      <c r="W218" s="25"/>
    </row>
    <row r="219" spans="1:23" x14ac:dyDescent="0.25">
      <c r="A219" s="42"/>
      <c r="B219" s="42"/>
      <c r="C219" s="42"/>
      <c r="D219" s="84"/>
      <c r="E219" s="75"/>
      <c r="F219" s="76"/>
      <c r="G219" s="78"/>
      <c r="H219" s="77"/>
      <c r="I219" s="77"/>
      <c r="J219" s="109"/>
      <c r="K219" s="126"/>
      <c r="L219" s="116"/>
      <c r="M219" s="110"/>
      <c r="N219" s="65"/>
      <c r="O219" s="173"/>
      <c r="P219" s="6"/>
      <c r="Q219" s="16"/>
      <c r="R219" s="8"/>
      <c r="S219" s="13"/>
      <c r="T219" s="90"/>
      <c r="U219" s="90"/>
      <c r="V219" s="91"/>
      <c r="W219" s="25"/>
    </row>
    <row r="220" spans="1:23" x14ac:dyDescent="0.25">
      <c r="A220" s="42"/>
      <c r="B220" s="42"/>
      <c r="C220" s="42"/>
      <c r="D220" s="84"/>
      <c r="E220" s="79"/>
      <c r="F220" s="74"/>
      <c r="G220" s="79"/>
      <c r="H220" s="74"/>
      <c r="I220" s="74"/>
      <c r="J220" s="105"/>
      <c r="K220" s="126"/>
      <c r="L220" s="117"/>
      <c r="M220" s="115"/>
      <c r="N220" s="67"/>
      <c r="O220" s="130"/>
      <c r="P220" s="6"/>
      <c r="Q220" s="16"/>
      <c r="R220" s="93"/>
      <c r="S220" s="97"/>
      <c r="T220" s="90"/>
      <c r="U220" s="90"/>
      <c r="V220" s="91"/>
      <c r="W220" s="25"/>
    </row>
    <row r="221" spans="1:23" x14ac:dyDescent="0.25">
      <c r="A221" s="42"/>
      <c r="B221" s="42"/>
      <c r="C221" s="42"/>
      <c r="D221" s="84"/>
      <c r="E221" s="75"/>
      <c r="F221" s="76"/>
      <c r="G221" s="78"/>
      <c r="H221" s="77"/>
      <c r="I221" s="77"/>
      <c r="J221" s="109"/>
      <c r="K221" s="126"/>
      <c r="L221" s="116"/>
      <c r="M221" s="110"/>
      <c r="N221" s="65"/>
      <c r="O221" s="173"/>
      <c r="P221" s="6"/>
      <c r="Q221" s="16"/>
      <c r="R221" s="8"/>
      <c r="S221" s="13"/>
      <c r="T221" s="90"/>
      <c r="U221" s="90"/>
      <c r="V221" s="91"/>
      <c r="W221" s="25"/>
    </row>
    <row r="222" spans="1:23" x14ac:dyDescent="0.25">
      <c r="A222" s="42"/>
      <c r="B222" s="42"/>
      <c r="C222" s="42"/>
      <c r="D222" s="84"/>
      <c r="E222" s="79"/>
      <c r="F222" s="74"/>
      <c r="G222" s="78"/>
      <c r="H222" s="77"/>
      <c r="I222" s="77"/>
      <c r="J222" s="109"/>
      <c r="K222" s="126"/>
      <c r="L222" s="116"/>
      <c r="M222" s="110"/>
      <c r="N222" s="65"/>
      <c r="O222" s="173"/>
      <c r="P222" s="6"/>
      <c r="Q222" s="16"/>
      <c r="R222" s="93"/>
      <c r="S222" s="97"/>
      <c r="T222" s="90"/>
      <c r="U222" s="90"/>
      <c r="V222" s="91"/>
      <c r="W222" s="25"/>
    </row>
    <row r="223" spans="1:23" x14ac:dyDescent="0.25">
      <c r="A223" s="42"/>
      <c r="B223" s="42"/>
      <c r="C223" s="42"/>
      <c r="D223" s="84"/>
      <c r="E223" s="79"/>
      <c r="F223" s="74"/>
      <c r="G223" s="78"/>
      <c r="H223" s="77"/>
      <c r="I223" s="77"/>
      <c r="J223" s="109"/>
      <c r="K223" s="126"/>
      <c r="L223" s="116"/>
      <c r="M223" s="115"/>
      <c r="N223" s="67"/>
      <c r="O223" s="130"/>
      <c r="P223" s="6"/>
      <c r="Q223" s="146"/>
      <c r="R223" s="9"/>
      <c r="S223" s="97"/>
      <c r="T223" s="90"/>
      <c r="U223" s="90"/>
      <c r="V223" s="91"/>
      <c r="W223" s="25"/>
    </row>
    <row r="224" spans="1:23" x14ac:dyDescent="0.25">
      <c r="A224" s="42"/>
      <c r="B224" s="42"/>
      <c r="C224" s="42"/>
      <c r="D224" s="84"/>
      <c r="E224" s="75"/>
      <c r="F224" s="76"/>
      <c r="G224" s="78"/>
      <c r="H224" s="77"/>
      <c r="I224" s="77"/>
      <c r="J224" s="109"/>
      <c r="K224" s="126"/>
      <c r="L224" s="116"/>
      <c r="M224" s="110"/>
      <c r="N224" s="65"/>
      <c r="O224" s="173"/>
      <c r="P224" s="6"/>
      <c r="Q224" s="16"/>
      <c r="R224" s="9"/>
      <c r="S224" s="97"/>
      <c r="T224" s="90"/>
      <c r="U224" s="90"/>
      <c r="V224" s="91"/>
      <c r="W224" s="25"/>
    </row>
    <row r="225" spans="1:23" x14ac:dyDescent="0.25">
      <c r="A225" s="42"/>
      <c r="B225" s="42"/>
      <c r="C225" s="42"/>
      <c r="D225" s="84"/>
      <c r="E225" s="79"/>
      <c r="F225" s="74"/>
      <c r="G225" s="79"/>
      <c r="H225" s="74"/>
      <c r="I225" s="74"/>
      <c r="J225" s="105"/>
      <c r="K225" s="126"/>
      <c r="L225" s="117"/>
      <c r="M225" s="115"/>
      <c r="N225" s="67"/>
      <c r="O225" s="130"/>
      <c r="P225" s="6"/>
      <c r="Q225" s="16"/>
      <c r="R225" s="8"/>
      <c r="S225" s="97"/>
      <c r="T225" s="90"/>
      <c r="U225" s="90"/>
      <c r="V225" s="91"/>
      <c r="W225" s="25"/>
    </row>
    <row r="226" spans="1:23" x14ac:dyDescent="0.25">
      <c r="A226" s="42"/>
      <c r="B226" s="42"/>
      <c r="C226" s="42"/>
      <c r="D226" s="84"/>
      <c r="E226" s="75"/>
      <c r="F226" s="76"/>
      <c r="G226" s="78"/>
      <c r="H226" s="77"/>
      <c r="I226" s="77"/>
      <c r="J226" s="109"/>
      <c r="K226" s="126"/>
      <c r="L226" s="116"/>
      <c r="M226" s="115"/>
      <c r="N226" s="67"/>
      <c r="O226" s="130"/>
      <c r="P226" s="6"/>
      <c r="Q226" s="146"/>
      <c r="R226" s="93"/>
      <c r="S226" s="97"/>
      <c r="T226" s="90"/>
      <c r="U226" s="90"/>
      <c r="V226" s="91"/>
      <c r="W226" s="25"/>
    </row>
    <row r="227" spans="1:23" x14ac:dyDescent="0.25">
      <c r="A227" s="42"/>
      <c r="B227" s="42"/>
      <c r="C227" s="42"/>
      <c r="D227" s="84"/>
      <c r="E227" s="75"/>
      <c r="F227" s="76"/>
      <c r="G227" s="75"/>
      <c r="H227" s="76"/>
      <c r="I227" s="75"/>
      <c r="J227" s="111"/>
      <c r="K227" s="126"/>
      <c r="L227" s="118"/>
      <c r="M227" s="115"/>
      <c r="N227" s="67"/>
      <c r="O227" s="130"/>
      <c r="P227" s="6"/>
      <c r="Q227" s="146"/>
      <c r="R227" s="9"/>
      <c r="S227" s="97"/>
      <c r="T227" s="90"/>
      <c r="U227" s="90"/>
      <c r="V227" s="91"/>
      <c r="W227" s="25"/>
    </row>
    <row r="228" spans="1:23" x14ac:dyDescent="0.25">
      <c r="A228" s="42"/>
      <c r="B228" s="42"/>
      <c r="C228" s="42"/>
      <c r="D228" s="84"/>
      <c r="E228" s="75"/>
      <c r="F228" s="76"/>
      <c r="G228" s="78"/>
      <c r="H228" s="77"/>
      <c r="I228" s="77"/>
      <c r="J228" s="109"/>
      <c r="K228" s="126"/>
      <c r="L228" s="116"/>
      <c r="M228" s="115"/>
      <c r="N228" s="67"/>
      <c r="O228" s="130"/>
      <c r="P228" s="6"/>
      <c r="Q228" s="146"/>
      <c r="R228" s="93"/>
      <c r="S228" s="97"/>
      <c r="T228" s="90"/>
      <c r="U228" s="90"/>
      <c r="V228" s="91"/>
      <c r="W228" s="25"/>
    </row>
    <row r="229" spans="1:23" x14ac:dyDescent="0.25">
      <c r="A229" s="42"/>
      <c r="B229" s="42"/>
      <c r="C229" s="42"/>
      <c r="D229" s="84"/>
      <c r="E229" s="75"/>
      <c r="F229" s="76"/>
      <c r="G229" s="78"/>
      <c r="H229" s="77"/>
      <c r="I229" s="77"/>
      <c r="J229" s="109"/>
      <c r="K229" s="126"/>
      <c r="L229" s="116"/>
      <c r="M229" s="115"/>
      <c r="N229" s="67"/>
      <c r="O229" s="130"/>
      <c r="P229" s="6"/>
      <c r="Q229" s="146"/>
      <c r="R229" s="93"/>
      <c r="S229" s="97"/>
      <c r="T229" s="90"/>
      <c r="U229" s="90"/>
      <c r="V229" s="91"/>
      <c r="W229" s="25"/>
    </row>
    <row r="230" spans="1:23" x14ac:dyDescent="0.25">
      <c r="A230" s="42"/>
      <c r="B230" s="42"/>
      <c r="C230" s="42"/>
      <c r="D230" s="84"/>
      <c r="E230" s="75"/>
      <c r="F230" s="76"/>
      <c r="G230" s="78"/>
      <c r="H230" s="77"/>
      <c r="I230" s="77"/>
      <c r="J230" s="109"/>
      <c r="K230" s="126"/>
      <c r="L230" s="116"/>
      <c r="M230" s="110"/>
      <c r="N230" s="65"/>
      <c r="O230" s="173"/>
      <c r="P230" s="6"/>
      <c r="Q230" s="16"/>
      <c r="R230" s="93"/>
      <c r="S230" s="97"/>
      <c r="T230" s="90"/>
      <c r="U230" s="90"/>
      <c r="V230" s="91"/>
      <c r="W230" s="25"/>
    </row>
    <row r="231" spans="1:23" x14ac:dyDescent="0.25">
      <c r="A231" s="42"/>
      <c r="B231" s="42"/>
      <c r="C231" s="42"/>
      <c r="D231" s="84"/>
      <c r="E231" s="79"/>
      <c r="F231" s="74"/>
      <c r="G231" s="78"/>
      <c r="H231" s="77"/>
      <c r="I231" s="77"/>
      <c r="J231" s="109"/>
      <c r="K231" s="126"/>
      <c r="L231" s="116"/>
      <c r="M231" s="115"/>
      <c r="N231" s="67"/>
      <c r="O231" s="130"/>
      <c r="P231" s="6"/>
      <c r="Q231" s="16"/>
      <c r="R231" s="8"/>
      <c r="S231" s="97"/>
      <c r="T231" s="90"/>
      <c r="U231" s="90"/>
      <c r="V231" s="91"/>
      <c r="W231" s="25"/>
    </row>
    <row r="232" spans="1:23" x14ac:dyDescent="0.25">
      <c r="A232" s="42"/>
      <c r="B232" s="42"/>
      <c r="C232" s="42"/>
      <c r="D232" s="84"/>
      <c r="E232" s="75"/>
      <c r="F232" s="76"/>
      <c r="G232" s="78"/>
      <c r="H232" s="77"/>
      <c r="I232" s="77"/>
      <c r="J232" s="109"/>
      <c r="K232" s="126"/>
      <c r="L232" s="116"/>
      <c r="M232" s="115"/>
      <c r="N232" s="67"/>
      <c r="O232" s="130"/>
      <c r="P232" s="6"/>
      <c r="Q232" s="16"/>
      <c r="R232" s="8"/>
      <c r="S232" s="97"/>
      <c r="T232" s="90"/>
      <c r="U232" s="90"/>
      <c r="V232" s="91"/>
      <c r="W232" s="25"/>
    </row>
    <row r="233" spans="1:23" x14ac:dyDescent="0.25">
      <c r="A233" s="42"/>
      <c r="B233" s="42"/>
      <c r="C233" s="42"/>
      <c r="D233" s="84"/>
      <c r="E233" s="75"/>
      <c r="F233" s="76"/>
      <c r="G233" s="75"/>
      <c r="H233" s="76"/>
      <c r="I233" s="75"/>
      <c r="J233" s="111"/>
      <c r="K233" s="126"/>
      <c r="L233" s="118"/>
      <c r="M233" s="115"/>
      <c r="N233" s="67"/>
      <c r="O233" s="130"/>
      <c r="P233" s="6"/>
      <c r="Q233" s="16"/>
      <c r="R233" s="8"/>
      <c r="S233" s="97"/>
      <c r="T233" s="90"/>
      <c r="U233" s="90"/>
      <c r="V233" s="91"/>
      <c r="W233" s="25"/>
    </row>
    <row r="234" spans="1:23" x14ac:dyDescent="0.25">
      <c r="A234" s="42"/>
      <c r="B234" s="42"/>
      <c r="C234" s="42"/>
      <c r="D234" s="84"/>
      <c r="E234" s="75"/>
      <c r="F234" s="76"/>
      <c r="G234" s="78"/>
      <c r="H234" s="77"/>
      <c r="I234" s="77"/>
      <c r="J234" s="109"/>
      <c r="K234" s="126"/>
      <c r="L234" s="116"/>
      <c r="M234" s="110"/>
      <c r="N234" s="65"/>
      <c r="O234" s="173"/>
      <c r="P234" s="6"/>
      <c r="Q234" s="16"/>
      <c r="R234" s="93"/>
      <c r="S234" s="97"/>
      <c r="T234" s="90"/>
      <c r="U234" s="90"/>
      <c r="V234" s="91"/>
      <c r="W234" s="25"/>
    </row>
    <row r="235" spans="1:23" x14ac:dyDescent="0.25">
      <c r="A235" s="42"/>
      <c r="B235" s="42"/>
      <c r="C235" s="42"/>
      <c r="D235" s="84"/>
      <c r="E235" s="79"/>
      <c r="F235" s="74"/>
      <c r="G235" s="78"/>
      <c r="H235" s="77"/>
      <c r="I235" s="77"/>
      <c r="J235" s="109"/>
      <c r="K235" s="126"/>
      <c r="L235" s="116"/>
      <c r="M235" s="110"/>
      <c r="N235" s="65"/>
      <c r="O235" s="173"/>
      <c r="P235" s="6"/>
      <c r="Q235" s="16"/>
      <c r="R235" s="93"/>
      <c r="S235" s="97"/>
      <c r="T235" s="90"/>
      <c r="U235" s="90"/>
      <c r="V235" s="91"/>
      <c r="W235" s="25"/>
    </row>
    <row r="236" spans="1:23" x14ac:dyDescent="0.25">
      <c r="A236" s="42"/>
      <c r="B236" s="42"/>
      <c r="C236" s="42"/>
      <c r="D236" s="84"/>
      <c r="E236" s="79"/>
      <c r="F236" s="74"/>
      <c r="G236" s="78"/>
      <c r="H236" s="77"/>
      <c r="I236" s="77"/>
      <c r="J236" s="109"/>
      <c r="K236" s="126"/>
      <c r="L236" s="116"/>
      <c r="M236" s="110"/>
      <c r="N236" s="65"/>
      <c r="O236" s="173"/>
      <c r="P236" s="6"/>
      <c r="Q236" s="16"/>
      <c r="R236" s="8"/>
      <c r="S236" s="13"/>
      <c r="T236" s="90"/>
      <c r="U236" s="90"/>
      <c r="V236" s="91"/>
      <c r="W236" s="25"/>
    </row>
    <row r="237" spans="1:23" x14ac:dyDescent="0.25">
      <c r="A237" s="42"/>
      <c r="B237" s="42"/>
      <c r="C237" s="42"/>
      <c r="D237" s="84"/>
      <c r="E237" s="79"/>
      <c r="F237" s="74"/>
      <c r="G237" s="78"/>
      <c r="H237" s="77"/>
      <c r="I237" s="77"/>
      <c r="J237" s="109"/>
      <c r="K237" s="126"/>
      <c r="L237" s="116"/>
      <c r="M237" s="115"/>
      <c r="N237" s="67"/>
      <c r="O237" s="130"/>
      <c r="P237" s="6"/>
      <c r="Q237" s="16"/>
      <c r="R237" s="8"/>
      <c r="S237" s="97"/>
      <c r="T237" s="90"/>
      <c r="U237" s="90"/>
      <c r="V237" s="91"/>
      <c r="W237" s="25"/>
    </row>
    <row r="238" spans="1:23" x14ac:dyDescent="0.25">
      <c r="A238" s="42"/>
      <c r="B238" s="42"/>
      <c r="C238" s="42"/>
      <c r="D238" s="84"/>
      <c r="E238" s="75"/>
      <c r="F238" s="76"/>
      <c r="G238" s="78"/>
      <c r="H238" s="77"/>
      <c r="I238" s="77"/>
      <c r="J238" s="109"/>
      <c r="K238" s="126"/>
      <c r="L238" s="116"/>
      <c r="M238" s="110"/>
      <c r="N238" s="65"/>
      <c r="O238" s="173"/>
      <c r="P238" s="6"/>
      <c r="Q238" s="16"/>
      <c r="R238" s="93"/>
      <c r="S238" s="97"/>
      <c r="T238" s="90"/>
      <c r="U238" s="90"/>
      <c r="V238" s="91"/>
      <c r="W238" s="25"/>
    </row>
    <row r="239" spans="1:23" x14ac:dyDescent="0.25">
      <c r="A239" s="42"/>
      <c r="B239" s="42"/>
      <c r="C239" s="42"/>
      <c r="D239" s="84"/>
      <c r="E239" s="79"/>
      <c r="F239" s="74"/>
      <c r="G239" s="78"/>
      <c r="H239" s="77"/>
      <c r="I239" s="77"/>
      <c r="J239" s="109"/>
      <c r="K239" s="126"/>
      <c r="L239" s="116"/>
      <c r="M239" s="115"/>
      <c r="N239" s="67"/>
      <c r="O239" s="130"/>
      <c r="P239" s="6"/>
      <c r="Q239" s="16"/>
      <c r="R239" s="93"/>
      <c r="S239" s="97"/>
      <c r="T239" s="90"/>
      <c r="U239" s="90"/>
      <c r="V239" s="91"/>
      <c r="W239" s="25"/>
    </row>
    <row r="240" spans="1:23" x14ac:dyDescent="0.25">
      <c r="A240" s="42"/>
      <c r="B240" s="42"/>
      <c r="C240" s="42"/>
      <c r="D240" s="84"/>
      <c r="E240" s="75"/>
      <c r="F240" s="76"/>
      <c r="G240" s="78"/>
      <c r="H240" s="77"/>
      <c r="I240" s="77"/>
      <c r="J240" s="109"/>
      <c r="K240" s="126"/>
      <c r="L240" s="116"/>
      <c r="M240" s="110"/>
      <c r="N240" s="65"/>
      <c r="O240" s="173"/>
      <c r="P240" s="6"/>
      <c r="Q240" s="16"/>
      <c r="R240" s="93"/>
      <c r="S240" s="97"/>
      <c r="T240" s="90"/>
      <c r="U240" s="90"/>
      <c r="V240" s="91"/>
      <c r="W240" s="25"/>
    </row>
    <row r="241" spans="1:23" x14ac:dyDescent="0.25">
      <c r="A241" s="42"/>
      <c r="B241" s="42"/>
      <c r="C241" s="42"/>
      <c r="D241" s="84"/>
      <c r="E241" s="79"/>
      <c r="F241" s="74"/>
      <c r="G241" s="78"/>
      <c r="H241" s="77"/>
      <c r="I241" s="77"/>
      <c r="J241" s="109"/>
      <c r="K241" s="126"/>
      <c r="L241" s="116"/>
      <c r="M241" s="114"/>
      <c r="N241" s="66"/>
      <c r="O241" s="127"/>
      <c r="P241" s="6"/>
      <c r="Q241" s="16"/>
      <c r="R241" s="9"/>
      <c r="S241" s="97"/>
      <c r="T241" s="90"/>
      <c r="U241" s="90"/>
      <c r="V241" s="91"/>
      <c r="W241" s="25"/>
    </row>
    <row r="242" spans="1:23" x14ac:dyDescent="0.25">
      <c r="A242" s="42"/>
      <c r="B242" s="42"/>
      <c r="C242" s="42"/>
      <c r="D242" s="84"/>
      <c r="E242" s="75"/>
      <c r="F242" s="76"/>
      <c r="G242" s="78"/>
      <c r="H242" s="77"/>
      <c r="I242" s="77"/>
      <c r="J242" s="109"/>
      <c r="K242" s="126"/>
      <c r="L242" s="116"/>
      <c r="M242" s="114"/>
      <c r="N242" s="66"/>
      <c r="O242" s="127"/>
      <c r="P242" s="6"/>
      <c r="Q242" s="146"/>
      <c r="R242" s="8"/>
      <c r="S242" s="97"/>
      <c r="T242" s="90"/>
      <c r="U242" s="90"/>
      <c r="V242" s="91"/>
      <c r="W242" s="25"/>
    </row>
    <row r="243" spans="1:23" x14ac:dyDescent="0.25">
      <c r="A243" s="42"/>
      <c r="B243" s="42"/>
      <c r="C243" s="42"/>
      <c r="D243" s="84"/>
      <c r="E243" s="75"/>
      <c r="F243" s="76"/>
      <c r="G243" s="78"/>
      <c r="H243" s="77"/>
      <c r="I243" s="77"/>
      <c r="J243" s="109"/>
      <c r="K243" s="126"/>
      <c r="L243" s="116"/>
      <c r="M243" s="114"/>
      <c r="N243" s="66"/>
      <c r="O243" s="127"/>
      <c r="P243" s="6"/>
      <c r="Q243" s="146"/>
      <c r="R243" s="8"/>
      <c r="S243" s="97"/>
      <c r="T243" s="90"/>
      <c r="U243" s="90"/>
      <c r="V243" s="91"/>
      <c r="W243" s="25"/>
    </row>
    <row r="244" spans="1:23" x14ac:dyDescent="0.25">
      <c r="A244" s="42"/>
      <c r="B244" s="42"/>
      <c r="C244" s="42"/>
      <c r="D244" s="84"/>
      <c r="E244" s="75"/>
      <c r="F244" s="76"/>
      <c r="G244" s="78"/>
      <c r="H244" s="77"/>
      <c r="I244" s="77"/>
      <c r="J244" s="109"/>
      <c r="K244" s="126"/>
      <c r="L244" s="116"/>
      <c r="M244" s="110"/>
      <c r="N244" s="65"/>
      <c r="O244" s="173"/>
      <c r="P244" s="6"/>
      <c r="Q244" s="16"/>
      <c r="R244" s="93"/>
      <c r="S244" s="97"/>
      <c r="T244" s="90"/>
      <c r="U244" s="90"/>
      <c r="V244" s="91"/>
      <c r="W244" s="25"/>
    </row>
    <row r="245" spans="1:23" x14ac:dyDescent="0.25">
      <c r="A245" s="42"/>
      <c r="B245" s="42"/>
      <c r="C245" s="42"/>
      <c r="D245" s="84"/>
      <c r="G245" s="78"/>
      <c r="H245" s="77"/>
      <c r="I245" s="77"/>
      <c r="J245" s="109"/>
      <c r="K245" s="126"/>
      <c r="L245" s="116"/>
      <c r="M245" s="115"/>
      <c r="N245" s="67"/>
      <c r="O245" s="130"/>
      <c r="P245" s="6"/>
      <c r="Q245" s="146"/>
      <c r="R245" s="93"/>
      <c r="S245" s="97"/>
      <c r="T245" s="90"/>
      <c r="U245" s="90"/>
      <c r="V245" s="91"/>
      <c r="W245" s="25"/>
    </row>
    <row r="246" spans="1:23" x14ac:dyDescent="0.25">
      <c r="A246" s="42"/>
      <c r="B246" s="42"/>
      <c r="C246" s="42"/>
      <c r="D246" s="84"/>
      <c r="E246" s="75"/>
      <c r="F246" s="76"/>
      <c r="G246" s="78"/>
      <c r="H246" s="77"/>
      <c r="I246" s="77"/>
      <c r="J246" s="109"/>
      <c r="K246" s="126"/>
      <c r="L246" s="116"/>
      <c r="M246" s="115"/>
      <c r="N246" s="67"/>
      <c r="O246" s="130"/>
      <c r="P246" s="6"/>
      <c r="Q246" s="146"/>
      <c r="R246" s="8"/>
      <c r="S246" s="97"/>
      <c r="T246" s="90"/>
      <c r="U246" s="90"/>
      <c r="V246" s="91"/>
      <c r="W246" s="25"/>
    </row>
    <row r="247" spans="1:23" x14ac:dyDescent="0.25">
      <c r="A247" s="42"/>
      <c r="B247" s="42"/>
      <c r="C247" s="42"/>
      <c r="D247" s="84"/>
      <c r="E247" s="75"/>
      <c r="F247" s="76"/>
      <c r="G247" s="79"/>
      <c r="H247" s="74"/>
      <c r="I247" s="74"/>
      <c r="J247" s="105"/>
      <c r="K247" s="126"/>
      <c r="L247" s="117"/>
      <c r="M247" s="115"/>
      <c r="N247" s="67"/>
      <c r="O247" s="130"/>
      <c r="P247" s="6"/>
      <c r="Q247" s="16"/>
      <c r="R247" s="9"/>
      <c r="S247" s="97"/>
      <c r="T247" s="90"/>
      <c r="U247" s="90"/>
      <c r="V247" s="91"/>
      <c r="W247" s="25"/>
    </row>
    <row r="248" spans="1:23" x14ac:dyDescent="0.25">
      <c r="A248" s="42"/>
      <c r="B248" s="42"/>
      <c r="C248" s="42"/>
      <c r="D248" s="84"/>
      <c r="E248" s="75"/>
      <c r="F248" s="76"/>
      <c r="G248" s="78"/>
      <c r="H248" s="77"/>
      <c r="I248" s="77"/>
      <c r="J248" s="109"/>
      <c r="K248" s="126"/>
      <c r="L248" s="116"/>
      <c r="M248" s="110"/>
      <c r="N248" s="65"/>
      <c r="O248" s="173"/>
      <c r="P248" s="6"/>
      <c r="Q248" s="16"/>
      <c r="R248" s="93"/>
      <c r="S248" s="97"/>
      <c r="T248" s="90"/>
      <c r="U248" s="90"/>
      <c r="V248" s="91"/>
      <c r="W248" s="25"/>
    </row>
    <row r="249" spans="1:23" x14ac:dyDescent="0.25">
      <c r="A249" s="42"/>
      <c r="B249" s="42"/>
      <c r="C249" s="42"/>
      <c r="D249" s="84"/>
      <c r="E249" s="79"/>
      <c r="F249" s="74"/>
      <c r="G249" s="78"/>
      <c r="H249" s="77"/>
      <c r="I249" s="77"/>
      <c r="J249" s="109"/>
      <c r="K249" s="126"/>
      <c r="L249" s="116"/>
      <c r="M249" s="110"/>
      <c r="N249" s="65"/>
      <c r="O249" s="173"/>
      <c r="P249" s="6"/>
      <c r="Q249" s="16"/>
      <c r="R249" s="8"/>
      <c r="S249" s="97"/>
      <c r="T249" s="90"/>
      <c r="U249" s="90"/>
      <c r="V249" s="91"/>
      <c r="W249" s="25"/>
    </row>
    <row r="250" spans="1:23" x14ac:dyDescent="0.25">
      <c r="A250" s="42"/>
      <c r="B250" s="42"/>
      <c r="C250" s="42"/>
      <c r="D250" s="84"/>
      <c r="E250" s="75"/>
      <c r="F250" s="76"/>
      <c r="G250" s="78"/>
      <c r="H250" s="77"/>
      <c r="I250" s="77"/>
      <c r="J250" s="109"/>
      <c r="K250" s="126"/>
      <c r="L250" s="116"/>
      <c r="M250" s="110"/>
      <c r="N250" s="65"/>
      <c r="O250" s="173"/>
      <c r="P250" s="6"/>
      <c r="Q250" s="146"/>
      <c r="R250" s="9"/>
      <c r="S250" s="97"/>
      <c r="T250" s="90"/>
      <c r="U250" s="90"/>
      <c r="V250" s="91"/>
      <c r="W250" s="25"/>
    </row>
    <row r="251" spans="1:23" x14ac:dyDescent="0.25">
      <c r="A251" s="42"/>
      <c r="B251" s="42"/>
      <c r="C251" s="42"/>
      <c r="D251" s="84"/>
      <c r="E251" s="75"/>
      <c r="F251" s="76"/>
      <c r="G251" s="78"/>
      <c r="H251" s="77"/>
      <c r="I251" s="77"/>
      <c r="J251" s="109"/>
      <c r="K251" s="126"/>
      <c r="L251" s="116"/>
      <c r="M251" s="115"/>
      <c r="N251" s="67"/>
      <c r="O251" s="130"/>
      <c r="P251" s="6"/>
      <c r="Q251" s="16"/>
      <c r="R251" s="9"/>
      <c r="S251" s="13"/>
      <c r="T251" s="90"/>
      <c r="U251" s="90"/>
      <c r="V251" s="91"/>
      <c r="W251" s="25"/>
    </row>
    <row r="252" spans="1:23" x14ac:dyDescent="0.25">
      <c r="A252" s="42"/>
      <c r="B252" s="42"/>
      <c r="C252" s="42"/>
      <c r="D252" s="84"/>
      <c r="E252" s="75"/>
      <c r="F252" s="76"/>
      <c r="G252" s="78"/>
      <c r="H252" s="77"/>
      <c r="I252" s="77"/>
      <c r="J252" s="109"/>
      <c r="K252" s="126"/>
      <c r="L252" s="116"/>
      <c r="M252" s="115"/>
      <c r="N252" s="67"/>
      <c r="O252" s="130"/>
      <c r="P252" s="6"/>
      <c r="Q252" s="16"/>
      <c r="R252" s="9"/>
      <c r="S252" s="97"/>
      <c r="T252" s="90"/>
      <c r="U252" s="90"/>
      <c r="V252" s="91"/>
      <c r="W252" s="25"/>
    </row>
    <row r="253" spans="1:23" x14ac:dyDescent="0.25">
      <c r="A253" s="42"/>
      <c r="B253" s="42"/>
      <c r="C253" s="42"/>
      <c r="D253" s="84"/>
      <c r="E253" s="75"/>
      <c r="F253" s="76"/>
      <c r="G253" s="78"/>
      <c r="H253" s="77"/>
      <c r="I253" s="77"/>
      <c r="J253" s="109"/>
      <c r="K253" s="126"/>
      <c r="L253" s="116"/>
      <c r="M253" s="110"/>
      <c r="N253" s="65"/>
      <c r="O253" s="173"/>
      <c r="P253" s="6"/>
      <c r="Q253" s="16"/>
      <c r="R253" s="8"/>
      <c r="S253" s="97"/>
      <c r="T253" s="90"/>
      <c r="U253" s="90"/>
      <c r="V253" s="91"/>
      <c r="W253" s="25"/>
    </row>
    <row r="254" spans="1:23" x14ac:dyDescent="0.25">
      <c r="A254" s="42"/>
      <c r="B254" s="42"/>
      <c r="C254" s="42"/>
      <c r="D254" s="84"/>
      <c r="E254" s="79"/>
      <c r="F254" s="74"/>
      <c r="G254" s="78"/>
      <c r="H254" s="77"/>
      <c r="I254" s="77"/>
      <c r="J254" s="109"/>
      <c r="K254" s="126"/>
      <c r="L254" s="116"/>
      <c r="M254" s="110"/>
      <c r="N254" s="65"/>
      <c r="O254" s="173"/>
      <c r="P254" s="6"/>
      <c r="Q254" s="16"/>
      <c r="R254" s="9"/>
      <c r="S254" s="97"/>
      <c r="T254" s="90"/>
      <c r="U254" s="90"/>
      <c r="V254" s="91"/>
      <c r="W254" s="25"/>
    </row>
    <row r="255" spans="1:23" x14ac:dyDescent="0.25">
      <c r="A255" s="42"/>
      <c r="B255" s="42"/>
      <c r="C255" s="42"/>
      <c r="D255" s="84"/>
      <c r="E255" s="79"/>
      <c r="F255" s="74"/>
      <c r="G255" s="78"/>
      <c r="H255" s="77"/>
      <c r="I255" s="77"/>
      <c r="J255" s="109"/>
      <c r="K255" s="126"/>
      <c r="L255" s="116"/>
      <c r="M255" s="110"/>
      <c r="N255" s="65"/>
      <c r="O255" s="173"/>
      <c r="P255" s="6"/>
      <c r="Q255" s="16"/>
      <c r="R255" s="93"/>
      <c r="S255" s="97"/>
      <c r="T255" s="90"/>
      <c r="U255" s="90"/>
      <c r="V255" s="91"/>
      <c r="W255" s="25"/>
    </row>
    <row r="256" spans="1:23" x14ac:dyDescent="0.25">
      <c r="A256" s="42"/>
      <c r="B256" s="42"/>
      <c r="C256" s="42"/>
      <c r="D256" s="84"/>
      <c r="E256" s="79"/>
      <c r="F256" s="74"/>
      <c r="G256" s="78"/>
      <c r="H256" s="77"/>
      <c r="I256" s="77"/>
      <c r="J256" s="109"/>
      <c r="K256" s="126"/>
      <c r="L256" s="116"/>
      <c r="M256" s="115"/>
      <c r="N256" s="67"/>
      <c r="O256" s="130"/>
      <c r="P256" s="6"/>
      <c r="Q256" s="16"/>
      <c r="R256" s="8"/>
      <c r="S256" s="13"/>
      <c r="T256" s="90"/>
      <c r="U256" s="90"/>
      <c r="V256" s="91"/>
      <c r="W256" s="25"/>
    </row>
    <row r="257" spans="1:23" x14ac:dyDescent="0.25">
      <c r="A257" s="42"/>
      <c r="B257" s="42"/>
      <c r="C257" s="42"/>
      <c r="D257" s="84"/>
      <c r="E257" s="75"/>
      <c r="F257" s="76"/>
      <c r="G257" s="78"/>
      <c r="H257" s="77"/>
      <c r="I257" s="77"/>
      <c r="J257" s="109"/>
      <c r="K257" s="126"/>
      <c r="L257" s="116"/>
      <c r="M257" s="110"/>
      <c r="N257" s="65"/>
      <c r="O257" s="173"/>
      <c r="P257" s="6"/>
      <c r="Q257" s="16"/>
      <c r="R257" s="8"/>
      <c r="S257" s="97"/>
      <c r="T257" s="90"/>
      <c r="U257" s="90"/>
      <c r="V257" s="91"/>
      <c r="W257" s="25"/>
    </row>
    <row r="258" spans="1:23" x14ac:dyDescent="0.25">
      <c r="A258" s="42"/>
      <c r="B258" s="42"/>
      <c r="C258" s="42"/>
      <c r="D258" s="84"/>
      <c r="E258" s="75"/>
      <c r="F258" s="76"/>
      <c r="G258" s="78"/>
      <c r="H258" s="77"/>
      <c r="I258" s="77"/>
      <c r="J258" s="109"/>
      <c r="K258" s="126"/>
      <c r="L258" s="116"/>
      <c r="M258" s="115"/>
      <c r="N258" s="67"/>
      <c r="O258" s="130"/>
      <c r="P258" s="6"/>
      <c r="Q258" s="146"/>
      <c r="R258" s="8"/>
      <c r="S258" s="13"/>
      <c r="T258" s="90"/>
      <c r="U258" s="90"/>
      <c r="V258" s="91"/>
      <c r="W258" s="25"/>
    </row>
    <row r="259" spans="1:23" x14ac:dyDescent="0.25">
      <c r="A259" s="42"/>
      <c r="B259" s="42"/>
      <c r="C259" s="42"/>
      <c r="D259" s="84"/>
      <c r="E259" s="75"/>
      <c r="F259" s="76"/>
      <c r="G259" s="78"/>
      <c r="H259" s="77"/>
      <c r="I259" s="77"/>
      <c r="J259" s="109"/>
      <c r="K259" s="126"/>
      <c r="L259" s="116"/>
      <c r="M259" s="115"/>
      <c r="N259" s="67"/>
      <c r="O259" s="130"/>
      <c r="P259" s="6"/>
      <c r="Q259" s="146"/>
      <c r="R259" s="9"/>
      <c r="S259" s="97"/>
      <c r="T259" s="90"/>
      <c r="U259" s="90"/>
      <c r="V259" s="91"/>
      <c r="W259" s="25"/>
    </row>
    <row r="260" spans="1:23" x14ac:dyDescent="0.25">
      <c r="A260" s="42"/>
      <c r="B260" s="42"/>
      <c r="C260" s="42"/>
      <c r="D260" s="84"/>
      <c r="E260" s="75"/>
      <c r="F260" s="76"/>
      <c r="G260" s="75"/>
      <c r="H260" s="76"/>
      <c r="I260" s="77"/>
      <c r="J260" s="109"/>
      <c r="K260" s="126"/>
      <c r="L260" s="116"/>
      <c r="M260" s="115"/>
      <c r="N260" s="67"/>
      <c r="O260" s="130"/>
      <c r="P260" s="6"/>
      <c r="Q260" s="16"/>
      <c r="R260" s="9"/>
      <c r="S260" s="97"/>
      <c r="T260" s="90"/>
      <c r="U260" s="90"/>
      <c r="V260" s="91"/>
      <c r="W260" s="25"/>
    </row>
    <row r="261" spans="1:23" x14ac:dyDescent="0.25">
      <c r="A261" s="42"/>
      <c r="B261" s="42"/>
      <c r="C261" s="42"/>
      <c r="D261" s="84"/>
      <c r="E261" s="75"/>
      <c r="F261" s="76"/>
      <c r="G261" s="78"/>
      <c r="H261" s="77"/>
      <c r="I261" s="77"/>
      <c r="J261" s="109"/>
      <c r="K261" s="126"/>
      <c r="L261" s="116"/>
      <c r="M261" s="115"/>
      <c r="N261" s="67"/>
      <c r="O261" s="130"/>
      <c r="P261" s="6"/>
      <c r="Q261" s="146"/>
      <c r="R261" s="9"/>
      <c r="S261" s="97"/>
      <c r="T261" s="90"/>
      <c r="U261" s="90"/>
      <c r="V261" s="91"/>
      <c r="W261" s="25"/>
    </row>
    <row r="262" spans="1:23" x14ac:dyDescent="0.25">
      <c r="A262" s="42"/>
      <c r="B262" s="42"/>
      <c r="C262" s="42"/>
      <c r="D262" s="84"/>
      <c r="E262" s="75"/>
      <c r="F262" s="76"/>
      <c r="G262" s="78"/>
      <c r="H262" s="77"/>
      <c r="I262" s="77"/>
      <c r="J262" s="109"/>
      <c r="K262" s="126"/>
      <c r="L262" s="116"/>
      <c r="M262" s="115"/>
      <c r="N262" s="67"/>
      <c r="O262" s="130"/>
      <c r="P262" s="6"/>
      <c r="Q262" s="16"/>
      <c r="R262" s="9"/>
      <c r="S262" s="13"/>
      <c r="T262" s="90"/>
      <c r="U262" s="90"/>
      <c r="V262" s="91"/>
      <c r="W262" s="25"/>
    </row>
    <row r="263" spans="1:23" x14ac:dyDescent="0.25">
      <c r="A263" s="42"/>
      <c r="B263" s="42"/>
      <c r="C263" s="42"/>
      <c r="D263" s="84"/>
      <c r="E263" s="75"/>
      <c r="F263" s="76"/>
      <c r="G263" s="78"/>
      <c r="H263" s="77"/>
      <c r="I263" s="77"/>
      <c r="J263" s="109"/>
      <c r="K263" s="126"/>
      <c r="L263" s="116"/>
      <c r="M263" s="110"/>
      <c r="N263" s="65"/>
      <c r="O263" s="173"/>
      <c r="P263" s="6"/>
      <c r="Q263" s="16"/>
      <c r="R263" s="8"/>
      <c r="S263" s="97"/>
      <c r="T263" s="90"/>
      <c r="U263" s="90"/>
      <c r="V263" s="91"/>
      <c r="W263" s="25"/>
    </row>
    <row r="264" spans="1:23" x14ac:dyDescent="0.25">
      <c r="A264" s="42"/>
      <c r="B264" s="42"/>
      <c r="C264" s="42"/>
      <c r="D264" s="84"/>
      <c r="E264" s="79"/>
      <c r="F264" s="74"/>
      <c r="G264" s="78"/>
      <c r="H264" s="77"/>
      <c r="I264" s="77"/>
      <c r="J264" s="109"/>
      <c r="K264" s="126"/>
      <c r="L264" s="116"/>
      <c r="M264" s="110"/>
      <c r="N264" s="65"/>
      <c r="O264" s="173"/>
      <c r="P264" s="6"/>
      <c r="Q264" s="16"/>
      <c r="R264" s="8"/>
      <c r="S264" s="97"/>
      <c r="T264" s="90"/>
      <c r="U264" s="90"/>
      <c r="V264" s="91"/>
      <c r="W264" s="25"/>
    </row>
    <row r="265" spans="1:23" x14ac:dyDescent="0.25">
      <c r="A265" s="42"/>
      <c r="B265" s="42"/>
      <c r="C265" s="42"/>
      <c r="D265" s="84"/>
      <c r="E265" s="79"/>
      <c r="F265" s="74"/>
      <c r="G265" s="78"/>
      <c r="H265" s="77"/>
      <c r="I265" s="77"/>
      <c r="J265" s="109"/>
      <c r="K265" s="126"/>
      <c r="L265" s="116"/>
      <c r="M265" s="110"/>
      <c r="N265" s="65"/>
      <c r="O265" s="173"/>
      <c r="P265" s="6"/>
      <c r="Q265" s="16"/>
      <c r="R265" s="93"/>
      <c r="S265" s="13"/>
      <c r="T265" s="90"/>
      <c r="U265" s="90"/>
      <c r="V265" s="91"/>
      <c r="W265" s="25"/>
    </row>
    <row r="266" spans="1:23" x14ac:dyDescent="0.25">
      <c r="A266" s="42"/>
      <c r="B266" s="42"/>
      <c r="C266" s="42"/>
      <c r="D266" s="84"/>
      <c r="E266" s="75"/>
      <c r="F266" s="76"/>
      <c r="G266" s="78"/>
      <c r="H266" s="77"/>
      <c r="I266" s="77"/>
      <c r="J266" s="109"/>
      <c r="K266" s="126"/>
      <c r="L266" s="116"/>
      <c r="M266" s="110"/>
      <c r="N266" s="65"/>
      <c r="O266" s="173"/>
      <c r="P266" s="6"/>
      <c r="Q266" s="16"/>
      <c r="R266" s="9"/>
      <c r="S266" s="13"/>
      <c r="T266" s="90"/>
      <c r="U266" s="90"/>
      <c r="V266" s="91"/>
      <c r="W266" s="25"/>
    </row>
    <row r="267" spans="1:23" x14ac:dyDescent="0.25">
      <c r="A267" s="42"/>
      <c r="B267" s="42"/>
      <c r="C267" s="42"/>
      <c r="D267" s="84"/>
      <c r="G267" s="78"/>
      <c r="H267" s="77"/>
      <c r="I267" s="77"/>
      <c r="J267" s="109"/>
      <c r="K267" s="126"/>
      <c r="L267" s="116"/>
      <c r="M267" s="115"/>
      <c r="N267" s="67"/>
      <c r="O267" s="130"/>
      <c r="P267" s="6"/>
      <c r="Q267" s="16"/>
      <c r="R267" s="93"/>
      <c r="S267" s="97"/>
      <c r="T267" s="90"/>
      <c r="U267" s="90"/>
      <c r="V267" s="91"/>
      <c r="W267" s="25"/>
    </row>
    <row r="268" spans="1:23" x14ac:dyDescent="0.25">
      <c r="A268" s="42"/>
      <c r="B268" s="42"/>
      <c r="C268" s="42"/>
      <c r="D268" s="84"/>
      <c r="E268" s="75"/>
      <c r="F268" s="76"/>
      <c r="G268" s="78"/>
      <c r="H268" s="77"/>
      <c r="I268" s="77"/>
      <c r="J268" s="109"/>
      <c r="K268" s="126"/>
      <c r="L268" s="116"/>
      <c r="M268" s="110"/>
      <c r="N268" s="65"/>
      <c r="O268" s="173"/>
      <c r="P268" s="6"/>
      <c r="Q268" s="16"/>
      <c r="R268" s="93"/>
      <c r="S268" s="97"/>
      <c r="T268" s="90"/>
      <c r="U268" s="90"/>
      <c r="V268" s="91"/>
      <c r="W268" s="25"/>
    </row>
    <row r="269" spans="1:23" x14ac:dyDescent="0.25">
      <c r="A269" s="42"/>
      <c r="B269" s="42"/>
      <c r="C269" s="42"/>
      <c r="D269" s="84"/>
      <c r="E269" s="79"/>
      <c r="F269" s="74"/>
      <c r="G269" s="78"/>
      <c r="H269" s="77"/>
      <c r="I269" s="77"/>
      <c r="J269" s="109"/>
      <c r="K269" s="126"/>
      <c r="L269" s="116"/>
      <c r="M269" s="110"/>
      <c r="N269" s="65"/>
      <c r="O269" s="173"/>
      <c r="P269" s="6"/>
      <c r="Q269" s="16"/>
      <c r="R269" s="93"/>
      <c r="S269" s="13"/>
      <c r="T269" s="90"/>
      <c r="U269" s="90"/>
      <c r="V269" s="91"/>
      <c r="W269" s="25"/>
    </row>
    <row r="270" spans="1:23" x14ac:dyDescent="0.25">
      <c r="A270" s="42"/>
      <c r="B270" s="42"/>
      <c r="C270" s="42"/>
      <c r="D270" s="84"/>
      <c r="E270" s="79"/>
      <c r="F270" s="74"/>
      <c r="G270" s="78"/>
      <c r="H270" s="77"/>
      <c r="I270" s="77"/>
      <c r="J270" s="109"/>
      <c r="K270" s="126"/>
      <c r="L270" s="116"/>
      <c r="M270" s="115"/>
      <c r="N270" s="67"/>
      <c r="O270" s="130"/>
      <c r="P270" s="6"/>
      <c r="Q270" s="16"/>
      <c r="R270" s="93"/>
      <c r="S270" s="13"/>
      <c r="T270" s="90"/>
      <c r="U270" s="90"/>
      <c r="V270" s="91"/>
      <c r="W270" s="25"/>
    </row>
    <row r="271" spans="1:23" x14ac:dyDescent="0.25">
      <c r="A271" s="42"/>
      <c r="B271" s="42"/>
      <c r="C271" s="42"/>
      <c r="D271" s="84"/>
      <c r="E271" s="75"/>
      <c r="F271" s="76"/>
      <c r="G271" s="78"/>
      <c r="H271" s="77"/>
      <c r="I271" s="77"/>
      <c r="J271" s="109"/>
      <c r="K271" s="126"/>
      <c r="L271" s="116"/>
      <c r="M271" s="110"/>
      <c r="N271" s="65"/>
      <c r="O271" s="173"/>
      <c r="P271" s="6"/>
      <c r="Q271" s="146"/>
      <c r="R271" s="93"/>
      <c r="S271" s="97"/>
      <c r="T271" s="90"/>
      <c r="U271" s="90"/>
      <c r="V271" s="91"/>
      <c r="W271" s="25"/>
    </row>
    <row r="272" spans="1:23" x14ac:dyDescent="0.25">
      <c r="A272" s="42"/>
      <c r="B272" s="42"/>
      <c r="C272" s="42"/>
      <c r="D272" s="84"/>
      <c r="E272" s="79"/>
      <c r="F272" s="74"/>
      <c r="G272" s="78"/>
      <c r="H272" s="77"/>
      <c r="I272" s="77"/>
      <c r="J272" s="109"/>
      <c r="K272" s="126"/>
      <c r="L272" s="116"/>
      <c r="M272" s="110"/>
      <c r="N272" s="65"/>
      <c r="O272" s="173"/>
      <c r="P272" s="6"/>
      <c r="Q272" s="146"/>
      <c r="R272" s="93"/>
      <c r="S272" s="97"/>
      <c r="T272" s="90"/>
      <c r="U272" s="90"/>
      <c r="V272" s="91"/>
      <c r="W272" s="25"/>
    </row>
    <row r="273" spans="1:23" x14ac:dyDescent="0.25">
      <c r="A273" s="42"/>
      <c r="B273" s="42"/>
      <c r="C273" s="42"/>
      <c r="D273" s="84"/>
      <c r="E273" s="79"/>
      <c r="F273" s="74"/>
      <c r="G273" s="78"/>
      <c r="H273" s="77"/>
      <c r="I273" s="77"/>
      <c r="J273" s="109"/>
      <c r="K273" s="126"/>
      <c r="L273" s="116"/>
      <c r="M273" s="110"/>
      <c r="N273" s="65"/>
      <c r="O273" s="173"/>
      <c r="P273" s="6"/>
      <c r="Q273" s="16"/>
      <c r="R273" s="8"/>
      <c r="S273" s="13"/>
      <c r="T273" s="90"/>
      <c r="U273" s="90"/>
      <c r="V273" s="91"/>
      <c r="W273" s="25"/>
    </row>
    <row r="274" spans="1:23" x14ac:dyDescent="0.25">
      <c r="A274" s="42"/>
      <c r="B274" s="42"/>
      <c r="C274" s="42"/>
      <c r="D274" s="84"/>
      <c r="E274" s="79"/>
      <c r="F274" s="74"/>
      <c r="G274" s="78"/>
      <c r="H274" s="77"/>
      <c r="I274" s="77"/>
      <c r="J274" s="109"/>
      <c r="K274" s="126"/>
      <c r="L274" s="116"/>
      <c r="M274" s="110"/>
      <c r="N274" s="65"/>
      <c r="O274" s="173"/>
      <c r="P274" s="6"/>
      <c r="Q274" s="16"/>
      <c r="R274" s="9"/>
      <c r="S274" s="13"/>
      <c r="T274" s="90"/>
      <c r="U274" s="90"/>
      <c r="V274" s="91"/>
      <c r="W274" s="25"/>
    </row>
    <row r="275" spans="1:23" x14ac:dyDescent="0.25">
      <c r="A275" s="42"/>
      <c r="B275" s="42"/>
      <c r="C275" s="42"/>
      <c r="D275" s="84"/>
      <c r="E275" s="79"/>
      <c r="F275" s="74"/>
      <c r="G275" s="78"/>
      <c r="H275" s="77"/>
      <c r="I275" s="77"/>
      <c r="J275" s="109"/>
      <c r="K275" s="126"/>
      <c r="L275" s="116"/>
      <c r="M275" s="110"/>
      <c r="N275" s="65"/>
      <c r="O275" s="173"/>
      <c r="P275" s="6"/>
      <c r="Q275" s="16"/>
      <c r="R275" s="8"/>
      <c r="S275" s="13"/>
      <c r="T275" s="90"/>
      <c r="U275" s="90"/>
      <c r="V275" s="91"/>
      <c r="W275" s="25"/>
    </row>
    <row r="276" spans="1:23" x14ac:dyDescent="0.25">
      <c r="A276" s="42"/>
      <c r="B276" s="42"/>
      <c r="C276" s="42"/>
      <c r="D276" s="84"/>
      <c r="E276" s="79"/>
      <c r="F276" s="74"/>
      <c r="G276" s="78"/>
      <c r="H276" s="77"/>
      <c r="I276" s="77"/>
      <c r="J276" s="109"/>
      <c r="K276" s="126"/>
      <c r="L276" s="116"/>
      <c r="M276" s="110"/>
      <c r="N276" s="65"/>
      <c r="O276" s="173"/>
      <c r="P276" s="6"/>
      <c r="Q276" s="16"/>
      <c r="R276" s="8"/>
      <c r="S276" s="13"/>
      <c r="T276" s="90"/>
      <c r="U276" s="90"/>
      <c r="V276" s="91"/>
      <c r="W276" s="25"/>
    </row>
    <row r="277" spans="1:23" x14ac:dyDescent="0.25">
      <c r="A277" s="42"/>
      <c r="B277" s="42"/>
      <c r="C277" s="42"/>
      <c r="D277" s="84"/>
      <c r="E277" s="79"/>
      <c r="F277" s="74"/>
      <c r="G277" s="79"/>
      <c r="H277" s="74"/>
      <c r="I277" s="74"/>
      <c r="J277" s="105"/>
      <c r="K277" s="126"/>
      <c r="L277" s="117"/>
      <c r="M277" s="114"/>
      <c r="N277" s="66"/>
      <c r="O277" s="127"/>
      <c r="P277" s="6"/>
      <c r="Q277" s="16"/>
      <c r="R277" s="8"/>
      <c r="S277" s="13"/>
      <c r="T277" s="90"/>
      <c r="U277" s="90"/>
      <c r="V277" s="91"/>
      <c r="W277" s="25"/>
    </row>
    <row r="278" spans="1:23" x14ac:dyDescent="0.25">
      <c r="A278" s="42"/>
      <c r="B278" s="42"/>
      <c r="C278" s="42"/>
      <c r="D278" s="84"/>
      <c r="E278" s="75"/>
      <c r="F278" s="76"/>
      <c r="G278" s="78"/>
      <c r="H278" s="77"/>
      <c r="I278" s="77"/>
      <c r="J278" s="109"/>
      <c r="K278" s="126"/>
      <c r="L278" s="116"/>
      <c r="M278" s="114"/>
      <c r="N278" s="66"/>
      <c r="O278" s="127"/>
      <c r="P278" s="6"/>
      <c r="Q278" s="16"/>
      <c r="R278" s="93"/>
      <c r="S278" s="97"/>
      <c r="T278" s="90"/>
      <c r="U278" s="90"/>
      <c r="V278" s="91"/>
      <c r="W278" s="25"/>
    </row>
    <row r="279" spans="1:23" x14ac:dyDescent="0.25">
      <c r="A279" s="42"/>
      <c r="B279" s="42"/>
      <c r="C279" s="42"/>
      <c r="D279" s="84"/>
      <c r="E279" s="75"/>
      <c r="F279" s="76"/>
      <c r="G279" s="78"/>
      <c r="H279" s="77"/>
      <c r="I279" s="77"/>
      <c r="J279" s="109"/>
      <c r="K279" s="126"/>
      <c r="L279" s="116"/>
      <c r="M279" s="114"/>
      <c r="N279" s="66"/>
      <c r="O279" s="127"/>
      <c r="P279" s="6"/>
      <c r="Q279" s="16"/>
      <c r="R279" s="9"/>
      <c r="S279" s="13"/>
      <c r="T279" s="90"/>
      <c r="U279" s="90"/>
      <c r="V279" s="91"/>
      <c r="W279" s="25"/>
    </row>
    <row r="280" spans="1:23" x14ac:dyDescent="0.25">
      <c r="A280" s="42"/>
      <c r="B280" s="42"/>
      <c r="C280" s="42"/>
      <c r="D280" s="84"/>
      <c r="E280" s="79"/>
      <c r="F280" s="74"/>
      <c r="G280" s="78"/>
      <c r="H280" s="77"/>
      <c r="I280" s="77"/>
      <c r="J280" s="109"/>
      <c r="K280" s="126"/>
      <c r="L280" s="116"/>
      <c r="M280" s="114"/>
      <c r="N280" s="66"/>
      <c r="O280" s="127"/>
      <c r="P280" s="6"/>
      <c r="Q280" s="16"/>
      <c r="R280" s="8"/>
      <c r="S280" s="13"/>
      <c r="T280" s="90"/>
      <c r="U280" s="90"/>
      <c r="V280" s="91"/>
      <c r="W280" s="25"/>
    </row>
    <row r="281" spans="1:23" x14ac:dyDescent="0.25">
      <c r="A281" s="42"/>
      <c r="B281" s="42"/>
      <c r="C281" s="42"/>
      <c r="D281" s="84"/>
      <c r="E281" s="79"/>
      <c r="F281" s="74"/>
      <c r="G281" s="78"/>
      <c r="H281" s="77"/>
      <c r="I281" s="77"/>
      <c r="J281" s="109"/>
      <c r="K281" s="126"/>
      <c r="L281" s="116"/>
      <c r="M281" s="114"/>
      <c r="N281" s="66"/>
      <c r="O281" s="127"/>
      <c r="P281" s="6"/>
      <c r="Q281" s="16"/>
      <c r="R281" s="8"/>
      <c r="S281" s="13"/>
      <c r="T281" s="90"/>
      <c r="U281" s="90"/>
      <c r="V281" s="91"/>
      <c r="W281" s="25"/>
    </row>
    <row r="282" spans="1:23" x14ac:dyDescent="0.25">
      <c r="A282" s="42"/>
      <c r="B282" s="42"/>
      <c r="C282" s="42"/>
      <c r="D282" s="84"/>
      <c r="E282" s="75"/>
      <c r="F282" s="76"/>
      <c r="G282" s="78"/>
      <c r="H282" s="77"/>
      <c r="I282" s="77"/>
      <c r="J282" s="109"/>
      <c r="K282" s="124"/>
      <c r="L282" s="116"/>
      <c r="M282" s="107"/>
      <c r="N282" s="63"/>
      <c r="O282" s="127"/>
      <c r="P282" s="6"/>
      <c r="Q282" s="171"/>
      <c r="R282" s="63"/>
      <c r="S282" s="13"/>
      <c r="T282" s="13"/>
      <c r="U282" s="13"/>
      <c r="V282" s="87"/>
      <c r="W282" s="27"/>
    </row>
    <row r="283" spans="1:23" x14ac:dyDescent="0.25">
      <c r="A283" s="43"/>
      <c r="B283" s="43"/>
      <c r="C283" s="43"/>
      <c r="D283" s="85"/>
      <c r="E283" s="79"/>
      <c r="F283" s="74"/>
      <c r="G283" s="78"/>
      <c r="H283" s="77"/>
      <c r="I283" s="77"/>
      <c r="J283" s="109"/>
      <c r="K283" s="126"/>
      <c r="L283" s="116"/>
      <c r="M283" s="115"/>
      <c r="N283" s="67"/>
      <c r="O283" s="130"/>
      <c r="P283" s="6"/>
      <c r="Q283" s="16"/>
      <c r="R283" s="93"/>
      <c r="S283" s="13"/>
      <c r="T283" s="90"/>
      <c r="U283" s="90"/>
      <c r="V283" s="91"/>
      <c r="W283" s="25"/>
    </row>
    <row r="284" spans="1:23" x14ac:dyDescent="0.25">
      <c r="A284" s="42"/>
      <c r="B284" s="42"/>
      <c r="C284" s="42"/>
      <c r="D284" s="84"/>
      <c r="E284" s="75"/>
      <c r="F284" s="76"/>
      <c r="G284" s="75"/>
      <c r="H284" s="76"/>
      <c r="I284" s="77"/>
      <c r="J284" s="109"/>
      <c r="K284" s="126"/>
      <c r="L284" s="116"/>
      <c r="M284" s="115"/>
      <c r="N284" s="67"/>
      <c r="O284" s="173"/>
      <c r="P284" s="6"/>
      <c r="Q284" s="16"/>
      <c r="R284" s="93"/>
      <c r="S284" s="97"/>
      <c r="T284" s="90"/>
      <c r="U284" s="90"/>
      <c r="V284" s="91"/>
      <c r="W284" s="25"/>
    </row>
    <row r="285" spans="1:23" x14ac:dyDescent="0.25">
      <c r="A285" s="42"/>
      <c r="B285" s="42"/>
      <c r="C285" s="42"/>
      <c r="D285" s="84"/>
      <c r="E285" s="75"/>
      <c r="F285" s="76"/>
      <c r="G285" s="78"/>
      <c r="H285" s="77"/>
      <c r="I285" s="77"/>
      <c r="J285" s="109"/>
      <c r="K285" s="126"/>
      <c r="L285" s="116"/>
      <c r="M285" s="115"/>
      <c r="N285" s="67"/>
      <c r="O285" s="130"/>
      <c r="P285" s="6"/>
      <c r="Q285" s="146"/>
      <c r="R285" s="93"/>
      <c r="S285" s="13"/>
      <c r="T285" s="90"/>
      <c r="U285" s="90"/>
      <c r="V285" s="91"/>
      <c r="W285" s="25"/>
    </row>
    <row r="286" spans="1:23" x14ac:dyDescent="0.25">
      <c r="A286" s="42"/>
      <c r="B286" s="42"/>
      <c r="C286" s="42"/>
      <c r="D286" s="84"/>
      <c r="E286" s="75"/>
      <c r="F286" s="76"/>
      <c r="G286" s="78"/>
      <c r="H286" s="77"/>
      <c r="I286" s="77"/>
      <c r="J286" s="109"/>
      <c r="K286" s="126"/>
      <c r="L286" s="116"/>
      <c r="M286" s="115"/>
      <c r="N286" s="67"/>
      <c r="O286" s="130"/>
      <c r="P286" s="6"/>
      <c r="Q286" s="16"/>
      <c r="R286" s="93"/>
      <c r="S286" s="97"/>
      <c r="T286" s="90"/>
      <c r="U286" s="90"/>
      <c r="V286" s="91"/>
      <c r="W286" s="25"/>
    </row>
    <row r="287" spans="1:23" x14ac:dyDescent="0.25">
      <c r="A287" s="42"/>
      <c r="B287" s="42"/>
      <c r="C287" s="42"/>
      <c r="D287" s="84"/>
      <c r="E287" s="75"/>
      <c r="F287" s="76"/>
      <c r="G287" s="78"/>
      <c r="H287" s="77"/>
      <c r="I287" s="77"/>
      <c r="J287" s="109"/>
      <c r="K287" s="126"/>
      <c r="L287" s="116"/>
      <c r="M287" s="115"/>
      <c r="N287" s="67"/>
      <c r="O287" s="173"/>
      <c r="P287" s="6"/>
      <c r="Q287" s="146"/>
      <c r="R287" s="8"/>
      <c r="S287" s="13"/>
      <c r="T287" s="90"/>
      <c r="U287" s="90"/>
      <c r="V287" s="91"/>
      <c r="W287" s="25"/>
    </row>
    <row r="288" spans="1:23" x14ac:dyDescent="0.25">
      <c r="A288" s="42"/>
      <c r="B288" s="42"/>
      <c r="C288" s="42"/>
      <c r="D288" s="84"/>
      <c r="E288" s="75"/>
      <c r="F288" s="76"/>
      <c r="G288" s="78"/>
      <c r="H288" s="77"/>
      <c r="I288" s="77"/>
      <c r="J288" s="109"/>
      <c r="K288" s="126"/>
      <c r="L288" s="116"/>
      <c r="M288" s="115"/>
      <c r="N288" s="67"/>
      <c r="O288" s="130"/>
      <c r="P288" s="6"/>
      <c r="Q288" s="16"/>
      <c r="R288" s="93"/>
      <c r="S288" s="13"/>
      <c r="T288" s="90"/>
      <c r="U288" s="90"/>
      <c r="V288" s="91"/>
      <c r="W288" s="25"/>
    </row>
    <row r="289" spans="1:23" x14ac:dyDescent="0.25">
      <c r="A289" s="42"/>
      <c r="B289" s="42"/>
      <c r="C289" s="42"/>
      <c r="D289" s="84"/>
      <c r="E289" s="75"/>
      <c r="F289" s="76"/>
      <c r="G289" s="78"/>
      <c r="H289" s="77"/>
      <c r="I289" s="77"/>
      <c r="J289" s="109"/>
      <c r="K289" s="126"/>
      <c r="L289" s="116"/>
      <c r="M289" s="115"/>
      <c r="N289" s="67"/>
      <c r="O289" s="130"/>
      <c r="P289" s="6"/>
      <c r="Q289" s="16"/>
      <c r="R289" s="8"/>
      <c r="S289" s="13"/>
      <c r="T289" s="90"/>
      <c r="U289" s="90"/>
      <c r="V289" s="91"/>
      <c r="W289" s="25"/>
    </row>
    <row r="290" spans="1:23" x14ac:dyDescent="0.25">
      <c r="A290" s="42"/>
      <c r="B290" s="42"/>
      <c r="C290" s="42"/>
      <c r="D290" s="84"/>
      <c r="E290" s="75"/>
      <c r="F290" s="76"/>
      <c r="G290" s="79"/>
      <c r="H290" s="74"/>
      <c r="I290" s="74"/>
      <c r="J290" s="105"/>
      <c r="K290" s="126"/>
      <c r="L290" s="117"/>
      <c r="M290" s="115"/>
      <c r="N290" s="67"/>
      <c r="O290" s="130"/>
      <c r="P290" s="6"/>
      <c r="Q290" s="16"/>
      <c r="R290" s="93"/>
      <c r="S290" s="13"/>
      <c r="T290" s="90"/>
      <c r="U290" s="90"/>
      <c r="V290" s="91"/>
      <c r="W290" s="25"/>
    </row>
    <row r="291" spans="1:23" x14ac:dyDescent="0.25">
      <c r="A291" s="42"/>
      <c r="B291" s="42"/>
      <c r="C291" s="42"/>
      <c r="D291" s="84"/>
      <c r="E291" s="75"/>
      <c r="F291" s="76"/>
      <c r="G291" s="78"/>
      <c r="H291" s="77"/>
      <c r="I291" s="77"/>
      <c r="J291" s="109"/>
      <c r="K291" s="126"/>
      <c r="L291" s="116"/>
      <c r="M291" s="115"/>
      <c r="N291" s="67"/>
      <c r="O291" s="130"/>
      <c r="P291" s="6"/>
      <c r="Q291" s="16"/>
      <c r="R291" s="93"/>
      <c r="S291" s="13"/>
      <c r="T291" s="90"/>
      <c r="U291" s="90"/>
      <c r="V291" s="91"/>
      <c r="W291" s="25"/>
    </row>
    <row r="292" spans="1:23" x14ac:dyDescent="0.25">
      <c r="A292" s="42"/>
      <c r="B292" s="42"/>
      <c r="C292" s="42"/>
      <c r="D292" s="84"/>
      <c r="E292" s="75"/>
      <c r="F292" s="76"/>
      <c r="G292" s="78"/>
      <c r="H292" s="77"/>
      <c r="I292" s="77"/>
      <c r="J292" s="109"/>
      <c r="K292" s="126"/>
      <c r="L292" s="116"/>
      <c r="M292" s="115"/>
      <c r="N292" s="67"/>
      <c r="O292" s="130"/>
      <c r="P292" s="6"/>
      <c r="Q292" s="16"/>
      <c r="R292" s="9"/>
      <c r="S292" s="13"/>
      <c r="T292" s="90"/>
      <c r="U292" s="90"/>
      <c r="V292" s="91"/>
      <c r="W292" s="25"/>
    </row>
    <row r="293" spans="1:23" x14ac:dyDescent="0.25">
      <c r="A293" s="42"/>
      <c r="B293" s="42"/>
      <c r="C293" s="42"/>
      <c r="D293" s="84"/>
      <c r="E293" s="75"/>
      <c r="F293" s="76"/>
      <c r="G293" s="78"/>
      <c r="H293" s="77"/>
      <c r="I293" s="77"/>
      <c r="J293" s="109"/>
      <c r="K293" s="126"/>
      <c r="L293" s="116"/>
      <c r="M293" s="115"/>
      <c r="N293" s="67"/>
      <c r="O293" s="130"/>
      <c r="P293" s="6"/>
      <c r="Q293" s="16"/>
      <c r="R293" s="8"/>
      <c r="S293" s="13"/>
      <c r="T293" s="90"/>
      <c r="U293" s="90"/>
      <c r="V293" s="91"/>
      <c r="W293" s="25"/>
    </row>
    <row r="294" spans="1:23" x14ac:dyDescent="0.25">
      <c r="A294" s="42"/>
      <c r="B294" s="42"/>
      <c r="C294" s="42"/>
      <c r="D294" s="84"/>
      <c r="E294" s="75"/>
      <c r="F294" s="76"/>
      <c r="G294" s="78"/>
      <c r="H294" s="77"/>
      <c r="I294" s="77"/>
      <c r="J294" s="109"/>
      <c r="K294" s="126"/>
      <c r="L294" s="116"/>
      <c r="M294" s="115"/>
      <c r="N294" s="67"/>
      <c r="O294" s="130"/>
      <c r="P294" s="6"/>
      <c r="Q294" s="16"/>
      <c r="R294" s="8"/>
      <c r="S294" s="13"/>
      <c r="T294" s="90"/>
      <c r="U294" s="90"/>
      <c r="V294" s="91"/>
      <c r="W294" s="25"/>
    </row>
    <row r="295" spans="1:23" x14ac:dyDescent="0.25">
      <c r="A295" s="42"/>
      <c r="B295" s="42"/>
      <c r="C295" s="42"/>
      <c r="D295" s="84"/>
      <c r="E295" s="75"/>
      <c r="F295" s="76"/>
      <c r="G295" s="79"/>
      <c r="H295" s="74"/>
      <c r="I295" s="74"/>
      <c r="J295" s="105"/>
      <c r="K295" s="126"/>
      <c r="L295" s="117"/>
      <c r="M295" s="110"/>
      <c r="N295" s="65"/>
      <c r="O295" s="173"/>
      <c r="P295" s="6"/>
      <c r="Q295" s="16"/>
      <c r="R295" s="9"/>
      <c r="S295" s="97"/>
      <c r="T295" s="90"/>
      <c r="U295" s="90"/>
      <c r="V295" s="91"/>
      <c r="W295" s="25"/>
    </row>
    <row r="296" spans="1:23" x14ac:dyDescent="0.25">
      <c r="A296" s="42"/>
      <c r="B296" s="42"/>
      <c r="C296" s="42"/>
      <c r="D296" s="84"/>
      <c r="E296" s="79"/>
      <c r="F296" s="74"/>
      <c r="G296" s="75"/>
      <c r="H296" s="76"/>
      <c r="I296" s="77"/>
      <c r="J296" s="109"/>
      <c r="K296" s="126"/>
      <c r="L296" s="116"/>
      <c r="M296" s="115"/>
      <c r="N296" s="67"/>
      <c r="O296" s="173"/>
      <c r="P296" s="6"/>
      <c r="Q296" s="16"/>
      <c r="R296" s="8"/>
      <c r="S296" s="13"/>
      <c r="T296" s="90"/>
      <c r="U296" s="90"/>
      <c r="V296" s="91"/>
      <c r="W296" s="25"/>
    </row>
    <row r="297" spans="1:23" x14ac:dyDescent="0.25">
      <c r="A297" s="42"/>
      <c r="B297" s="42"/>
      <c r="C297" s="42"/>
      <c r="D297" s="84"/>
      <c r="E297" s="75"/>
      <c r="F297" s="76"/>
      <c r="G297" s="75"/>
      <c r="H297" s="76"/>
      <c r="I297" s="77"/>
      <c r="J297" s="109"/>
      <c r="K297" s="126"/>
      <c r="L297" s="116"/>
      <c r="M297" s="115"/>
      <c r="N297" s="67"/>
      <c r="O297" s="130"/>
      <c r="P297" s="6"/>
      <c r="Q297" s="16"/>
      <c r="R297" s="9"/>
      <c r="S297" s="13"/>
      <c r="T297" s="90"/>
      <c r="U297" s="90"/>
      <c r="V297" s="91"/>
      <c r="W297" s="25"/>
    </row>
    <row r="298" spans="1:23" x14ac:dyDescent="0.25">
      <c r="A298" s="42"/>
      <c r="B298" s="42"/>
      <c r="C298" s="42"/>
      <c r="D298" s="84"/>
      <c r="E298" s="75"/>
      <c r="F298" s="76"/>
      <c r="G298" s="78"/>
      <c r="H298" s="77"/>
      <c r="I298" s="77"/>
      <c r="J298" s="109"/>
      <c r="K298" s="126"/>
      <c r="L298" s="116"/>
      <c r="M298" s="115"/>
      <c r="N298" s="67"/>
      <c r="O298" s="130"/>
      <c r="P298" s="6"/>
      <c r="Q298" s="16"/>
      <c r="R298" s="93"/>
      <c r="S298" s="13"/>
      <c r="T298" s="90"/>
      <c r="U298" s="90"/>
      <c r="V298" s="91"/>
      <c r="W298" s="25"/>
    </row>
    <row r="299" spans="1:23" x14ac:dyDescent="0.25">
      <c r="A299" s="42"/>
      <c r="B299" s="42"/>
      <c r="C299" s="42"/>
      <c r="D299" s="84"/>
      <c r="E299" s="75"/>
      <c r="F299" s="76"/>
      <c r="G299" s="78"/>
      <c r="H299" s="77"/>
      <c r="I299" s="77"/>
      <c r="J299" s="109"/>
      <c r="K299" s="126"/>
      <c r="L299" s="116"/>
      <c r="M299" s="115"/>
      <c r="N299" s="67"/>
      <c r="O299" s="130"/>
      <c r="P299" s="6"/>
      <c r="Q299" s="16"/>
      <c r="R299" s="93"/>
      <c r="S299" s="13"/>
      <c r="T299" s="90"/>
      <c r="U299" s="90"/>
      <c r="V299" s="91"/>
      <c r="W299" s="25"/>
    </row>
    <row r="300" spans="1:23" x14ac:dyDescent="0.25">
      <c r="A300" s="42"/>
      <c r="B300" s="42"/>
      <c r="C300" s="42"/>
      <c r="D300" s="84"/>
      <c r="E300" s="75"/>
      <c r="F300" s="76"/>
      <c r="G300" s="78"/>
      <c r="H300" s="77"/>
      <c r="I300" s="77"/>
      <c r="J300" s="109"/>
      <c r="K300" s="126"/>
      <c r="L300" s="116"/>
      <c r="M300" s="115"/>
      <c r="N300" s="67"/>
      <c r="O300" s="130"/>
      <c r="P300" s="6"/>
      <c r="Q300" s="146"/>
      <c r="R300" s="93"/>
      <c r="S300" s="13"/>
      <c r="T300" s="90"/>
      <c r="U300" s="90"/>
      <c r="V300" s="91"/>
      <c r="W300" s="25"/>
    </row>
    <row r="301" spans="1:23" x14ac:dyDescent="0.25">
      <c r="A301" s="42"/>
      <c r="B301" s="42"/>
      <c r="C301" s="42"/>
      <c r="D301" s="84"/>
      <c r="E301" s="75"/>
      <c r="F301" s="76"/>
      <c r="G301" s="79"/>
      <c r="H301" s="74"/>
      <c r="I301" s="77"/>
      <c r="J301" s="109"/>
      <c r="K301" s="126"/>
      <c r="L301" s="116"/>
      <c r="M301" s="110"/>
      <c r="N301" s="65"/>
      <c r="O301" s="173"/>
      <c r="P301" s="6"/>
      <c r="Q301" s="146"/>
      <c r="R301" s="93"/>
      <c r="S301" s="13"/>
      <c r="T301" s="90"/>
      <c r="U301" s="90"/>
      <c r="V301" s="91"/>
      <c r="W301" s="25"/>
    </row>
    <row r="302" spans="1:23" x14ac:dyDescent="0.25">
      <c r="A302" s="42"/>
      <c r="B302" s="42"/>
      <c r="C302" s="42"/>
      <c r="D302" s="84"/>
      <c r="E302" s="75"/>
      <c r="F302" s="76"/>
      <c r="G302" s="78"/>
      <c r="H302" s="77"/>
      <c r="I302" s="77"/>
      <c r="J302" s="109"/>
      <c r="K302" s="126"/>
      <c r="L302" s="116"/>
      <c r="M302" s="110"/>
      <c r="N302" s="65"/>
      <c r="O302" s="173"/>
      <c r="P302" s="6"/>
      <c r="Q302" s="16"/>
      <c r="R302" s="93"/>
      <c r="S302" s="13"/>
      <c r="T302" s="90"/>
      <c r="U302" s="90"/>
      <c r="V302" s="91"/>
      <c r="W302" s="25"/>
    </row>
    <row r="303" spans="1:23" x14ac:dyDescent="0.25">
      <c r="A303" s="42"/>
      <c r="B303" s="42"/>
      <c r="C303" s="42"/>
      <c r="D303" s="84"/>
      <c r="G303" s="78"/>
      <c r="H303" s="77"/>
      <c r="I303" s="77"/>
      <c r="J303" s="109"/>
      <c r="K303" s="126"/>
      <c r="L303" s="116"/>
      <c r="M303" s="115"/>
      <c r="N303" s="67"/>
      <c r="O303" s="130"/>
      <c r="P303" s="6"/>
      <c r="Q303" s="16"/>
      <c r="R303" s="93"/>
      <c r="S303" s="13"/>
      <c r="T303" s="90"/>
      <c r="U303" s="90"/>
      <c r="V303" s="91"/>
      <c r="W303" s="25"/>
    </row>
    <row r="304" spans="1:23" x14ac:dyDescent="0.25">
      <c r="A304" s="42"/>
      <c r="B304" s="42"/>
      <c r="C304" s="42"/>
      <c r="D304" s="84"/>
      <c r="E304" s="75"/>
      <c r="F304" s="76"/>
      <c r="G304" s="78"/>
      <c r="H304" s="77"/>
      <c r="I304" s="77"/>
      <c r="J304" s="109"/>
      <c r="K304" s="126"/>
      <c r="L304" s="116"/>
      <c r="M304" s="115"/>
      <c r="N304" s="67"/>
      <c r="O304" s="130"/>
      <c r="P304" s="6"/>
      <c r="Q304" s="16"/>
      <c r="R304" s="93"/>
      <c r="S304" s="13"/>
      <c r="T304" s="90"/>
      <c r="U304" s="90"/>
      <c r="V304" s="91"/>
      <c r="W304" s="25"/>
    </row>
    <row r="305" spans="1:23" x14ac:dyDescent="0.25">
      <c r="A305" s="42"/>
      <c r="B305" s="42"/>
      <c r="C305" s="42"/>
      <c r="D305" s="84"/>
      <c r="E305" s="75"/>
      <c r="F305" s="76"/>
      <c r="G305" s="78"/>
      <c r="H305" s="77"/>
      <c r="I305" s="77"/>
      <c r="J305" s="109"/>
      <c r="K305" s="126"/>
      <c r="L305" s="116"/>
      <c r="M305" s="115"/>
      <c r="N305" s="67"/>
      <c r="O305" s="130"/>
      <c r="P305" s="6"/>
      <c r="Q305" s="16"/>
      <c r="R305" s="93"/>
      <c r="S305" s="13"/>
      <c r="T305" s="90"/>
      <c r="U305" s="90"/>
      <c r="V305" s="91"/>
      <c r="W305" s="25"/>
    </row>
    <row r="306" spans="1:23" x14ac:dyDescent="0.25">
      <c r="A306" s="42"/>
      <c r="B306" s="42"/>
      <c r="C306" s="42"/>
      <c r="D306" s="84"/>
      <c r="E306" s="75"/>
      <c r="F306" s="76"/>
      <c r="G306" s="78"/>
      <c r="H306" s="77"/>
      <c r="I306" s="77"/>
      <c r="J306" s="109"/>
      <c r="K306" s="126"/>
      <c r="L306" s="116"/>
      <c r="M306" s="104"/>
      <c r="N306" s="69"/>
      <c r="P306" s="6"/>
      <c r="Q306" s="16"/>
      <c r="R306" s="93"/>
      <c r="S306" s="13"/>
      <c r="T306" s="90"/>
      <c r="U306" s="90"/>
      <c r="V306" s="91"/>
      <c r="W306" s="25"/>
    </row>
    <row r="307" spans="1:23" x14ac:dyDescent="0.25">
      <c r="A307" s="42"/>
      <c r="B307" s="42"/>
      <c r="C307" s="42"/>
      <c r="D307" s="84"/>
      <c r="E307" s="75"/>
      <c r="F307" s="76"/>
      <c r="G307" s="78"/>
      <c r="H307" s="77"/>
      <c r="I307" s="77"/>
      <c r="J307" s="109"/>
      <c r="K307" s="124"/>
      <c r="L307" s="116"/>
      <c r="M307" s="108"/>
      <c r="N307" s="51"/>
      <c r="P307" s="6"/>
      <c r="Q307" s="171"/>
      <c r="R307" s="51"/>
      <c r="S307" s="13"/>
      <c r="T307" s="13"/>
      <c r="U307" s="13"/>
      <c r="V307" s="17"/>
      <c r="W307" s="27"/>
    </row>
    <row r="308" spans="1:23" x14ac:dyDescent="0.25">
      <c r="A308" s="29"/>
      <c r="B308" s="29"/>
      <c r="C308" s="29"/>
      <c r="D308" s="63"/>
      <c r="E308" s="79"/>
      <c r="F308" s="74"/>
      <c r="G308" s="75"/>
      <c r="H308" s="76"/>
      <c r="I308" s="77"/>
      <c r="J308" s="109"/>
      <c r="K308" s="124"/>
      <c r="L308" s="116"/>
      <c r="M308" s="104"/>
      <c r="N308" s="69"/>
      <c r="P308" s="6"/>
      <c r="Q308" s="146"/>
      <c r="R308" s="9"/>
      <c r="S308" s="13"/>
      <c r="T308" s="97"/>
      <c r="U308" s="13"/>
      <c r="V308" s="95"/>
      <c r="W308" s="25"/>
    </row>
    <row r="309" spans="1:23" x14ac:dyDescent="0.25">
      <c r="A309" s="1"/>
      <c r="B309" s="1"/>
      <c r="C309" s="1"/>
      <c r="D309" s="4"/>
      <c r="E309" s="75"/>
      <c r="F309" s="76"/>
      <c r="G309" s="78"/>
      <c r="H309" s="77"/>
      <c r="I309" s="77"/>
      <c r="J309" s="109"/>
      <c r="K309" s="124"/>
      <c r="L309" s="116"/>
      <c r="M309" s="104"/>
      <c r="N309" s="69"/>
      <c r="P309" s="6"/>
      <c r="Q309" s="16"/>
      <c r="R309" s="8"/>
      <c r="S309" s="13"/>
      <c r="T309" s="13"/>
      <c r="U309" s="13"/>
      <c r="V309" s="95"/>
      <c r="W309" s="25"/>
    </row>
    <row r="310" spans="1:23" x14ac:dyDescent="0.25">
      <c r="A310" s="1"/>
      <c r="B310" s="1"/>
      <c r="C310" s="1"/>
      <c r="D310" s="4"/>
      <c r="E310" s="79"/>
      <c r="F310" s="74"/>
      <c r="G310" s="78"/>
      <c r="H310" s="77"/>
      <c r="I310" s="77"/>
      <c r="J310" s="109"/>
      <c r="K310" s="124"/>
      <c r="L310" s="116"/>
      <c r="M310" s="114"/>
      <c r="N310" s="66"/>
      <c r="O310" s="127"/>
      <c r="P310" s="6"/>
      <c r="Q310" s="16"/>
      <c r="R310" s="8"/>
      <c r="S310" s="13"/>
      <c r="T310" s="13"/>
      <c r="U310" s="13"/>
      <c r="V310" s="89"/>
      <c r="W310" s="25"/>
    </row>
    <row r="311" spans="1:23" x14ac:dyDescent="0.25">
      <c r="A311" s="1"/>
      <c r="B311" s="1"/>
      <c r="C311" s="1"/>
      <c r="D311" s="4"/>
      <c r="E311" s="79"/>
      <c r="F311" s="74"/>
      <c r="G311" s="78"/>
      <c r="H311" s="77"/>
      <c r="I311" s="77"/>
      <c r="J311" s="109"/>
      <c r="K311" s="124"/>
      <c r="L311" s="116"/>
      <c r="M311" s="104"/>
      <c r="N311" s="69"/>
      <c r="P311" s="6"/>
      <c r="Q311" s="16"/>
      <c r="R311" s="9"/>
      <c r="S311" s="13"/>
      <c r="T311" s="13"/>
      <c r="U311" s="13"/>
      <c r="V311" s="89"/>
      <c r="W311" s="25"/>
    </row>
    <row r="312" spans="1:23" x14ac:dyDescent="0.25">
      <c r="A312" s="1"/>
      <c r="B312" s="1"/>
      <c r="C312" s="1"/>
      <c r="D312" s="4"/>
      <c r="E312" s="79"/>
      <c r="F312" s="74"/>
    </row>
  </sheetData>
  <mergeCells count="7">
    <mergeCell ref="S1:U1"/>
    <mergeCell ref="S41:U41"/>
    <mergeCell ref="A1:D1"/>
    <mergeCell ref="E1:H1"/>
    <mergeCell ref="M1:N1"/>
    <mergeCell ref="P1:Q1"/>
    <mergeCell ref="R1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K56"/>
  <sheetViews>
    <sheetView tabSelected="1" workbookViewId="0">
      <selection activeCell="C21" sqref="C21:D21"/>
    </sheetView>
  </sheetViews>
  <sheetFormatPr defaultRowHeight="15" x14ac:dyDescent="0.25"/>
  <cols>
    <col min="1" max="1" width="10.7109375" customWidth="1"/>
    <col min="2" max="2" width="7.42578125" style="19" customWidth="1"/>
    <col min="3" max="3" width="13.140625" customWidth="1"/>
    <col min="4" max="4" width="23.42578125" style="122" customWidth="1"/>
    <col min="5" max="5" width="9.140625" style="19"/>
    <col min="7" max="8" width="9.140625" style="19"/>
    <col min="9" max="9" width="22.28515625" customWidth="1"/>
    <col min="10" max="10" width="9.140625" customWidth="1"/>
  </cols>
  <sheetData>
    <row r="1" spans="1:11" ht="18.75" x14ac:dyDescent="0.3">
      <c r="A1" s="24"/>
      <c r="B1" s="24"/>
      <c r="C1" s="24"/>
      <c r="D1" s="121" t="s">
        <v>68</v>
      </c>
      <c r="E1" s="24"/>
      <c r="I1" s="40"/>
      <c r="J1" s="19"/>
    </row>
    <row r="2" spans="1:11" x14ac:dyDescent="0.25">
      <c r="A2" s="14" t="s">
        <v>69</v>
      </c>
      <c r="B2" s="14"/>
      <c r="C2" s="11"/>
      <c r="D2" s="123"/>
      <c r="E2" s="11"/>
      <c r="F2" s="22"/>
      <c r="G2" s="20" t="s">
        <v>70</v>
      </c>
      <c r="H2" s="20"/>
      <c r="I2" s="38"/>
      <c r="J2" s="39"/>
    </row>
    <row r="3" spans="1:11" x14ac:dyDescent="0.25">
      <c r="A3" s="35" t="s">
        <v>71</v>
      </c>
      <c r="B3" s="35" t="s">
        <v>11</v>
      </c>
      <c r="C3" s="35" t="s">
        <v>72</v>
      </c>
      <c r="D3" s="120" t="s">
        <v>73</v>
      </c>
      <c r="E3" s="36" t="s">
        <v>74</v>
      </c>
      <c r="G3" s="35" t="s">
        <v>71</v>
      </c>
      <c r="H3" s="35" t="s">
        <v>11</v>
      </c>
      <c r="I3" s="41" t="s">
        <v>75</v>
      </c>
      <c r="J3" s="21" t="s">
        <v>74</v>
      </c>
    </row>
    <row r="4" spans="1:11" x14ac:dyDescent="0.25">
      <c r="A4" s="37">
        <v>11532</v>
      </c>
      <c r="B4" s="24" t="s">
        <v>32</v>
      </c>
      <c r="C4" s="26">
        <v>34973</v>
      </c>
      <c r="D4" s="37" t="s">
        <v>76</v>
      </c>
      <c r="E4" s="25">
        <v>0.50964579074500005</v>
      </c>
      <c r="F4" s="134"/>
      <c r="G4" s="23">
        <v>11532</v>
      </c>
      <c r="H4" s="24" t="s">
        <v>32</v>
      </c>
      <c r="I4" s="37" t="s">
        <v>77</v>
      </c>
      <c r="J4" s="27">
        <v>8.5010050564099995</v>
      </c>
      <c r="K4" s="177"/>
    </row>
    <row r="5" spans="1:11" x14ac:dyDescent="0.25">
      <c r="A5" s="37">
        <v>11532</v>
      </c>
      <c r="B5" s="24" t="s">
        <v>32</v>
      </c>
      <c r="C5" s="26">
        <v>35278</v>
      </c>
      <c r="D5" s="37" t="s">
        <v>78</v>
      </c>
      <c r="E5" s="25">
        <v>2.1818006357700002</v>
      </c>
      <c r="F5" s="134"/>
      <c r="G5" s="23">
        <v>11537</v>
      </c>
      <c r="H5" s="24" t="s">
        <v>32</v>
      </c>
      <c r="I5" s="37" t="s">
        <v>79</v>
      </c>
      <c r="J5" s="25">
        <v>10.0258717454</v>
      </c>
      <c r="K5" s="177"/>
    </row>
    <row r="6" spans="1:11" x14ac:dyDescent="0.25">
      <c r="A6" s="37">
        <v>11532</v>
      </c>
      <c r="B6" s="24" t="s">
        <v>32</v>
      </c>
      <c r="C6" s="26">
        <v>32417</v>
      </c>
      <c r="D6" s="37" t="s">
        <v>80</v>
      </c>
      <c r="E6" s="25">
        <v>2.8307711215800002</v>
      </c>
      <c r="F6" s="134"/>
      <c r="G6" s="23">
        <v>11537</v>
      </c>
      <c r="H6" s="24" t="s">
        <v>32</v>
      </c>
      <c r="I6" s="37" t="s">
        <v>81</v>
      </c>
      <c r="J6" s="25">
        <v>12.1075112904</v>
      </c>
      <c r="K6" s="177"/>
    </row>
    <row r="7" spans="1:11" x14ac:dyDescent="0.25">
      <c r="A7" s="37"/>
      <c r="B7" s="24"/>
      <c r="C7" s="26"/>
      <c r="D7" s="37"/>
      <c r="E7" s="27">
        <f>SUM(E4:E6)</f>
        <v>5.522217548095</v>
      </c>
      <c r="F7" s="134"/>
      <c r="G7" s="24"/>
      <c r="H7" s="24"/>
      <c r="I7" s="178"/>
      <c r="J7" s="27">
        <f>SUM(J5:J6)</f>
        <v>22.133383035800001</v>
      </c>
      <c r="K7" s="177"/>
    </row>
    <row r="8" spans="1:11" x14ac:dyDescent="0.25">
      <c r="A8" s="37">
        <v>11534</v>
      </c>
      <c r="B8" s="24" t="s">
        <v>32</v>
      </c>
      <c r="C8" s="26">
        <v>42255</v>
      </c>
      <c r="D8" s="37" t="s">
        <v>82</v>
      </c>
      <c r="E8" s="27">
        <v>1.09057700347</v>
      </c>
      <c r="F8" s="134"/>
      <c r="G8" s="23">
        <v>12192</v>
      </c>
      <c r="H8" s="24" t="s">
        <v>32</v>
      </c>
      <c r="I8" s="37" t="s">
        <v>83</v>
      </c>
      <c r="J8" s="27">
        <v>9.5513258606400004</v>
      </c>
      <c r="K8" s="177"/>
    </row>
    <row r="9" spans="1:11" x14ac:dyDescent="0.25">
      <c r="A9" s="37">
        <v>11537</v>
      </c>
      <c r="B9" s="24" t="s">
        <v>32</v>
      </c>
      <c r="C9" s="26">
        <v>35400</v>
      </c>
      <c r="D9" s="37" t="s">
        <v>84</v>
      </c>
      <c r="E9" s="27">
        <v>0.653787117227</v>
      </c>
      <c r="F9" s="134"/>
      <c r="G9" s="23">
        <v>12193</v>
      </c>
      <c r="H9" s="24" t="s">
        <v>32</v>
      </c>
      <c r="I9" s="37" t="s">
        <v>85</v>
      </c>
      <c r="J9" s="27">
        <v>9.4745197246699995</v>
      </c>
      <c r="K9" s="177"/>
    </row>
    <row r="10" spans="1:11" x14ac:dyDescent="0.25">
      <c r="A10" s="37">
        <v>11696</v>
      </c>
      <c r="B10" s="24" t="s">
        <v>32</v>
      </c>
      <c r="C10" s="26">
        <v>35400</v>
      </c>
      <c r="D10" s="37" t="s">
        <v>86</v>
      </c>
      <c r="E10" s="27">
        <v>2.1712623598</v>
      </c>
      <c r="F10" s="134"/>
      <c r="G10" s="23">
        <v>12201</v>
      </c>
      <c r="H10" s="24" t="s">
        <v>32</v>
      </c>
      <c r="I10" s="37" t="s">
        <v>87</v>
      </c>
      <c r="J10" s="27">
        <v>4.8611176372699996</v>
      </c>
    </row>
    <row r="11" spans="1:11" x14ac:dyDescent="0.25">
      <c r="A11" s="37">
        <v>12190</v>
      </c>
      <c r="B11" s="24" t="s">
        <v>32</v>
      </c>
      <c r="C11" s="26">
        <v>36161</v>
      </c>
      <c r="D11" s="37" t="s">
        <v>88</v>
      </c>
      <c r="E11" s="25">
        <v>13.4071645843</v>
      </c>
      <c r="F11" s="134"/>
      <c r="G11" s="156"/>
      <c r="H11" s="159"/>
      <c r="I11" s="129"/>
      <c r="J11" s="172">
        <f>SUM(J4:J10)</f>
        <v>76.65473435058999</v>
      </c>
    </row>
    <row r="12" spans="1:11" x14ac:dyDescent="0.25">
      <c r="A12" s="37">
        <v>12190</v>
      </c>
      <c r="B12" s="24" t="s">
        <v>32</v>
      </c>
      <c r="C12" s="477">
        <v>42705</v>
      </c>
      <c r="D12" s="478" t="s">
        <v>89</v>
      </c>
      <c r="E12" s="25">
        <v>5.0498369072999996</v>
      </c>
      <c r="F12" s="134"/>
      <c r="G12" s="23">
        <v>9250</v>
      </c>
      <c r="H12" s="24" t="s">
        <v>59</v>
      </c>
      <c r="I12" s="23" t="s">
        <v>90</v>
      </c>
      <c r="J12" s="25">
        <v>1.4912189144400001</v>
      </c>
      <c r="K12" s="177"/>
    </row>
    <row r="13" spans="1:11" x14ac:dyDescent="0.25">
      <c r="A13" s="37"/>
      <c r="B13" s="24"/>
      <c r="C13" s="26"/>
      <c r="D13" s="37"/>
      <c r="E13" s="27">
        <f>SUM(E11:E12)</f>
        <v>18.4570014916</v>
      </c>
      <c r="F13" s="134"/>
      <c r="G13" s="23">
        <v>9255</v>
      </c>
      <c r="H13" s="24" t="s">
        <v>59</v>
      </c>
      <c r="I13" s="23" t="s">
        <v>90</v>
      </c>
      <c r="J13" s="25">
        <v>76.012654897999994</v>
      </c>
      <c r="K13" s="177"/>
    </row>
    <row r="14" spans="1:11" x14ac:dyDescent="0.25">
      <c r="A14" s="37">
        <v>12191</v>
      </c>
      <c r="B14" s="24" t="s">
        <v>32</v>
      </c>
      <c r="C14" s="477">
        <v>42644</v>
      </c>
      <c r="D14" s="478" t="s">
        <v>91</v>
      </c>
      <c r="E14" s="25">
        <v>17.641962726900001</v>
      </c>
      <c r="F14" s="134"/>
      <c r="G14" s="23">
        <v>10414</v>
      </c>
      <c r="H14" s="24" t="s">
        <v>59</v>
      </c>
      <c r="I14" s="23" t="s">
        <v>90</v>
      </c>
      <c r="J14" s="25">
        <v>7.7582854831699999</v>
      </c>
      <c r="K14" s="177"/>
    </row>
    <row r="15" spans="1:11" x14ac:dyDescent="0.25">
      <c r="A15" s="37">
        <v>12197</v>
      </c>
      <c r="B15" s="24" t="s">
        <v>32</v>
      </c>
      <c r="C15" s="26">
        <v>36605</v>
      </c>
      <c r="D15" s="37" t="s">
        <v>92</v>
      </c>
      <c r="E15" s="25">
        <v>1.3633976505600001</v>
      </c>
      <c r="F15" s="134"/>
      <c r="G15" s="23">
        <v>10415</v>
      </c>
      <c r="H15" s="24" t="s">
        <v>59</v>
      </c>
      <c r="I15" s="23" t="s">
        <v>90</v>
      </c>
      <c r="J15" s="25">
        <v>8.5671085119099999</v>
      </c>
      <c r="K15" s="177"/>
    </row>
    <row r="16" spans="1:11" x14ac:dyDescent="0.25">
      <c r="A16" s="37">
        <v>12197</v>
      </c>
      <c r="B16" s="24" t="s">
        <v>32</v>
      </c>
      <c r="C16" s="26">
        <v>36953</v>
      </c>
      <c r="D16" s="37" t="s">
        <v>93</v>
      </c>
      <c r="E16" s="25">
        <v>5.8733237437000003</v>
      </c>
      <c r="F16" s="134"/>
      <c r="G16" s="23">
        <v>10416</v>
      </c>
      <c r="H16" s="24" t="s">
        <v>59</v>
      </c>
      <c r="I16" s="23" t="s">
        <v>90</v>
      </c>
      <c r="J16" s="25">
        <v>33.528218424899997</v>
      </c>
      <c r="K16" s="177"/>
    </row>
    <row r="17" spans="1:11" x14ac:dyDescent="0.25">
      <c r="A17" s="37"/>
      <c r="B17" s="24"/>
      <c r="C17" s="26"/>
      <c r="D17" s="37"/>
      <c r="E17" s="27">
        <f>SUM(E15:E16)</f>
        <v>7.2367213942599999</v>
      </c>
      <c r="F17" s="134"/>
      <c r="G17" s="23">
        <v>11157</v>
      </c>
      <c r="H17" s="24" t="s">
        <v>59</v>
      </c>
      <c r="I17" s="23" t="s">
        <v>94</v>
      </c>
      <c r="J17" s="25">
        <v>2.6663905944400002</v>
      </c>
      <c r="K17" s="177"/>
    </row>
    <row r="18" spans="1:11" x14ac:dyDescent="0.25">
      <c r="A18" s="37">
        <v>12201</v>
      </c>
      <c r="B18" s="24" t="s">
        <v>32</v>
      </c>
      <c r="C18" s="26">
        <v>31959</v>
      </c>
      <c r="D18" s="37" t="s">
        <v>95</v>
      </c>
      <c r="E18" s="25">
        <v>2.4105856338899998</v>
      </c>
      <c r="F18" s="134"/>
      <c r="G18" s="129"/>
      <c r="H18" s="159"/>
      <c r="I18" s="129"/>
      <c r="J18" s="136">
        <f>SUM(J12:J17)</f>
        <v>130.02387682685998</v>
      </c>
      <c r="K18" s="177"/>
    </row>
    <row r="19" spans="1:11" x14ac:dyDescent="0.25">
      <c r="A19" s="37">
        <v>12201</v>
      </c>
      <c r="B19" s="24" t="s">
        <v>32</v>
      </c>
      <c r="C19" s="26">
        <v>31959</v>
      </c>
      <c r="D19" s="37" t="s">
        <v>96</v>
      </c>
      <c r="E19" s="25">
        <v>2.04892316319</v>
      </c>
      <c r="F19" s="134"/>
      <c r="G19" s="134"/>
      <c r="I19" s="134"/>
      <c r="J19" s="177"/>
      <c r="K19" s="177"/>
    </row>
    <row r="20" spans="1:11" x14ac:dyDescent="0.25">
      <c r="A20" s="37">
        <v>12201</v>
      </c>
      <c r="B20" s="24" t="s">
        <v>32</v>
      </c>
      <c r="C20" s="26">
        <v>25569</v>
      </c>
      <c r="D20" s="37" t="s">
        <v>97</v>
      </c>
      <c r="E20" s="25">
        <v>12.4201652264</v>
      </c>
      <c r="F20" s="134"/>
      <c r="G20" s="132"/>
      <c r="I20" s="134"/>
      <c r="J20" s="96"/>
    </row>
    <row r="21" spans="1:11" x14ac:dyDescent="0.25">
      <c r="A21" s="37">
        <v>12201</v>
      </c>
      <c r="B21" s="24" t="s">
        <v>32</v>
      </c>
      <c r="C21" s="477">
        <v>42613</v>
      </c>
      <c r="D21" s="478" t="s">
        <v>98</v>
      </c>
      <c r="E21" s="25">
        <v>1.50155583214</v>
      </c>
      <c r="F21" s="134"/>
      <c r="G21" s="132"/>
      <c r="I21" s="134"/>
      <c r="J21" s="96"/>
    </row>
    <row r="22" spans="1:11" x14ac:dyDescent="0.25">
      <c r="A22" s="37">
        <v>12201</v>
      </c>
      <c r="B22" s="24" t="s">
        <v>32</v>
      </c>
      <c r="C22" s="26">
        <v>37895</v>
      </c>
      <c r="D22" s="37" t="s">
        <v>99</v>
      </c>
      <c r="E22" s="25">
        <v>0.96379266051099999</v>
      </c>
      <c r="F22" s="134"/>
      <c r="J22" s="96"/>
    </row>
    <row r="23" spans="1:11" x14ac:dyDescent="0.25">
      <c r="A23" s="37">
        <v>12201</v>
      </c>
      <c r="B23" s="24" t="s">
        <v>32</v>
      </c>
      <c r="C23" s="26">
        <v>37895</v>
      </c>
      <c r="D23" s="37" t="s">
        <v>100</v>
      </c>
      <c r="E23" s="25">
        <v>0.32284513215400001</v>
      </c>
      <c r="F23" s="134"/>
    </row>
    <row r="24" spans="1:11" x14ac:dyDescent="0.25">
      <c r="A24" s="37"/>
      <c r="B24" s="24"/>
      <c r="C24" s="26"/>
      <c r="D24" s="37"/>
      <c r="E24" s="27">
        <f>SUM(E18:E23)</f>
        <v>19.667867648285</v>
      </c>
      <c r="F24" s="134"/>
    </row>
    <row r="25" spans="1:11" x14ac:dyDescent="0.25">
      <c r="A25" s="37">
        <v>12208</v>
      </c>
      <c r="B25" s="24" t="s">
        <v>32</v>
      </c>
      <c r="C25" s="26">
        <v>36373</v>
      </c>
      <c r="D25" s="37" t="s">
        <v>101</v>
      </c>
      <c r="E25" s="27">
        <v>7.8500429410699999</v>
      </c>
      <c r="F25" s="134"/>
    </row>
    <row r="26" spans="1:11" x14ac:dyDescent="0.25">
      <c r="A26" s="37">
        <v>21793</v>
      </c>
      <c r="B26" s="24" t="s">
        <v>32</v>
      </c>
      <c r="C26" s="26">
        <v>32509</v>
      </c>
      <c r="D26" s="37" t="s">
        <v>102</v>
      </c>
      <c r="E26" s="27">
        <v>14.8351919845</v>
      </c>
      <c r="F26" s="134"/>
    </row>
    <row r="27" spans="1:11" x14ac:dyDescent="0.25">
      <c r="A27" s="129"/>
      <c r="B27" s="159"/>
      <c r="C27" s="129"/>
      <c r="D27" s="153"/>
      <c r="E27" s="136">
        <v>95.126632215206996</v>
      </c>
    </row>
    <row r="28" spans="1:11" x14ac:dyDescent="0.25">
      <c r="A28" s="37">
        <v>9248</v>
      </c>
      <c r="B28" s="24" t="s">
        <v>59</v>
      </c>
      <c r="C28" s="26">
        <v>36008</v>
      </c>
      <c r="D28" s="37" t="s">
        <v>103</v>
      </c>
      <c r="E28" s="27">
        <v>0.59669088357</v>
      </c>
    </row>
    <row r="29" spans="1:11" x14ac:dyDescent="0.25">
      <c r="A29" s="37">
        <v>9249</v>
      </c>
      <c r="B29" s="24" t="s">
        <v>59</v>
      </c>
      <c r="C29" s="26">
        <v>42422</v>
      </c>
      <c r="D29" s="37" t="s">
        <v>104</v>
      </c>
      <c r="E29" s="27">
        <v>3.2984003390500001</v>
      </c>
    </row>
    <row r="30" spans="1:11" x14ac:dyDescent="0.25">
      <c r="A30" s="37">
        <v>9250</v>
      </c>
      <c r="B30" s="24" t="s">
        <v>59</v>
      </c>
      <c r="C30" s="26">
        <v>35947</v>
      </c>
      <c r="D30" s="37" t="s">
        <v>105</v>
      </c>
      <c r="E30" s="25">
        <v>25.713163900400001</v>
      </c>
    </row>
    <row r="31" spans="1:11" x14ac:dyDescent="0.25">
      <c r="A31" s="37">
        <v>9250</v>
      </c>
      <c r="B31" s="24" t="s">
        <v>59</v>
      </c>
      <c r="C31" s="26">
        <v>35947</v>
      </c>
      <c r="D31" s="37" t="s">
        <v>106</v>
      </c>
      <c r="E31" s="25">
        <v>0.47688966086700002</v>
      </c>
    </row>
    <row r="32" spans="1:11" x14ac:dyDescent="0.25">
      <c r="A32" s="37"/>
      <c r="B32" s="24"/>
      <c r="C32" s="26"/>
      <c r="D32" s="37"/>
      <c r="E32" s="27">
        <f>SUM(E30:E31)</f>
        <v>26.190053561267</v>
      </c>
    </row>
    <row r="33" spans="1:5" x14ac:dyDescent="0.25">
      <c r="A33" s="37">
        <v>9252</v>
      </c>
      <c r="B33" s="24" t="s">
        <v>59</v>
      </c>
      <c r="C33" s="26">
        <v>27181</v>
      </c>
      <c r="D33" s="37" t="s">
        <v>107</v>
      </c>
      <c r="E33" s="27">
        <v>2.4129908484799998</v>
      </c>
    </row>
    <row r="34" spans="1:5" x14ac:dyDescent="0.25">
      <c r="A34" s="37">
        <v>9256</v>
      </c>
      <c r="B34" s="24" t="s">
        <v>59</v>
      </c>
      <c r="C34" s="26">
        <v>39216</v>
      </c>
      <c r="D34" s="37" t="s">
        <v>108</v>
      </c>
      <c r="E34" s="25">
        <v>3.9318823344</v>
      </c>
    </row>
    <row r="35" spans="1:5" x14ac:dyDescent="0.25">
      <c r="A35" s="37">
        <v>9256</v>
      </c>
      <c r="B35" s="24" t="s">
        <v>59</v>
      </c>
      <c r="C35" s="26">
        <v>39216</v>
      </c>
      <c r="D35" s="37" t="s">
        <v>109</v>
      </c>
      <c r="E35" s="25">
        <v>0.67145550982299995</v>
      </c>
    </row>
    <row r="36" spans="1:5" x14ac:dyDescent="0.25">
      <c r="A36" s="37"/>
      <c r="B36" s="24"/>
      <c r="C36" s="26"/>
      <c r="D36" s="37"/>
      <c r="E36" s="27">
        <f>SUM(E34:E35)</f>
        <v>4.6033378442229997</v>
      </c>
    </row>
    <row r="37" spans="1:5" x14ac:dyDescent="0.25">
      <c r="A37" s="37">
        <v>9260</v>
      </c>
      <c r="B37" s="24" t="s">
        <v>59</v>
      </c>
      <c r="C37" s="26">
        <v>31778</v>
      </c>
      <c r="D37" s="37" t="s">
        <v>110</v>
      </c>
      <c r="E37" s="25">
        <v>4.2777737184299998</v>
      </c>
    </row>
    <row r="38" spans="1:5" x14ac:dyDescent="0.25">
      <c r="A38" s="37">
        <v>9260</v>
      </c>
      <c r="B38" s="24" t="s">
        <v>59</v>
      </c>
      <c r="C38" s="26">
        <v>39091</v>
      </c>
      <c r="D38" s="37" t="s">
        <v>111</v>
      </c>
      <c r="E38" s="25">
        <v>0.423312444545</v>
      </c>
    </row>
    <row r="39" spans="1:5" x14ac:dyDescent="0.25">
      <c r="A39" s="37"/>
      <c r="B39" s="24"/>
      <c r="C39" s="26"/>
      <c r="D39" s="37"/>
      <c r="E39" s="27">
        <f>SUM(E37:E38)</f>
        <v>4.7010861629749998</v>
      </c>
    </row>
    <row r="40" spans="1:5" x14ac:dyDescent="0.25">
      <c r="A40" s="37">
        <v>9265</v>
      </c>
      <c r="B40" s="24" t="s">
        <v>59</v>
      </c>
      <c r="C40" s="26">
        <v>37257</v>
      </c>
      <c r="D40" s="37" t="s">
        <v>112</v>
      </c>
      <c r="E40" s="27">
        <v>2.8198078760700001</v>
      </c>
    </row>
    <row r="41" spans="1:5" x14ac:dyDescent="0.25">
      <c r="A41" s="37">
        <v>9266</v>
      </c>
      <c r="B41" s="24" t="s">
        <v>59</v>
      </c>
      <c r="C41" s="26">
        <v>38108</v>
      </c>
      <c r="D41" s="37" t="s">
        <v>113</v>
      </c>
      <c r="E41" s="27">
        <v>1.1600455536200001</v>
      </c>
    </row>
    <row r="42" spans="1:5" x14ac:dyDescent="0.25">
      <c r="A42" s="37">
        <v>10415</v>
      </c>
      <c r="B42" s="24" t="s">
        <v>59</v>
      </c>
      <c r="C42" s="26">
        <v>36617</v>
      </c>
      <c r="D42" s="37" t="s">
        <v>114</v>
      </c>
      <c r="E42" s="27">
        <v>3.6836950530200001</v>
      </c>
    </row>
    <row r="43" spans="1:5" x14ac:dyDescent="0.25">
      <c r="A43" s="37">
        <v>10416</v>
      </c>
      <c r="B43" s="24" t="s">
        <v>59</v>
      </c>
      <c r="C43" s="26">
        <v>35947</v>
      </c>
      <c r="D43" s="37" t="s">
        <v>105</v>
      </c>
      <c r="E43" s="25">
        <v>4.9036117149700003</v>
      </c>
    </row>
    <row r="44" spans="1:5" x14ac:dyDescent="0.25">
      <c r="A44" s="37">
        <v>10416</v>
      </c>
      <c r="B44" s="24" t="s">
        <v>59</v>
      </c>
      <c r="C44" s="26">
        <v>35947</v>
      </c>
      <c r="D44" s="37" t="s">
        <v>115</v>
      </c>
      <c r="E44" s="25">
        <v>1.9371633799900001</v>
      </c>
    </row>
    <row r="45" spans="1:5" x14ac:dyDescent="0.25">
      <c r="A45" s="37"/>
      <c r="B45" s="24"/>
      <c r="C45" s="26"/>
      <c r="D45" s="37"/>
      <c r="E45" s="27">
        <f>SUM(E43:E44)</f>
        <v>6.8407750949600006</v>
      </c>
    </row>
    <row r="46" spans="1:5" x14ac:dyDescent="0.25">
      <c r="A46" s="37">
        <v>10419</v>
      </c>
      <c r="B46" s="24" t="s">
        <v>59</v>
      </c>
      <c r="C46" s="477">
        <v>42863</v>
      </c>
      <c r="D46" s="478" t="s">
        <v>116</v>
      </c>
      <c r="E46" s="27">
        <v>0.58905762445099996</v>
      </c>
    </row>
    <row r="47" spans="1:5" x14ac:dyDescent="0.25">
      <c r="A47" s="37">
        <v>10422</v>
      </c>
      <c r="B47" s="24" t="s">
        <v>59</v>
      </c>
      <c r="C47" s="26">
        <v>31990</v>
      </c>
      <c r="D47" s="37" t="s">
        <v>117</v>
      </c>
      <c r="E47" s="27">
        <v>8.0989568512699996</v>
      </c>
    </row>
    <row r="48" spans="1:5" x14ac:dyDescent="0.25">
      <c r="A48" s="37">
        <v>11006</v>
      </c>
      <c r="B48" s="24" t="s">
        <v>59</v>
      </c>
      <c r="C48" s="26">
        <v>30103</v>
      </c>
      <c r="D48" s="37" t="s">
        <v>118</v>
      </c>
      <c r="E48" s="27">
        <v>0.95115204475799997</v>
      </c>
    </row>
    <row r="49" spans="1:5" x14ac:dyDescent="0.25">
      <c r="A49" s="37">
        <v>11155</v>
      </c>
      <c r="B49" s="24" t="s">
        <v>59</v>
      </c>
      <c r="C49" s="26">
        <v>37408</v>
      </c>
      <c r="D49" s="37" t="s">
        <v>119</v>
      </c>
      <c r="E49" s="27">
        <v>7.6021951733600002</v>
      </c>
    </row>
    <row r="50" spans="1:5" x14ac:dyDescent="0.25">
      <c r="A50" s="37">
        <v>11163</v>
      </c>
      <c r="B50" s="24" t="s">
        <v>59</v>
      </c>
      <c r="C50" s="26">
        <v>33055</v>
      </c>
      <c r="D50" s="37" t="s">
        <v>120</v>
      </c>
      <c r="E50" s="25">
        <v>8.6611736016300007</v>
      </c>
    </row>
    <row r="51" spans="1:5" x14ac:dyDescent="0.25">
      <c r="A51" s="37">
        <v>11163</v>
      </c>
      <c r="B51" s="24" t="s">
        <v>59</v>
      </c>
      <c r="C51" s="477">
        <v>42549</v>
      </c>
      <c r="D51" s="478" t="s">
        <v>121</v>
      </c>
      <c r="E51" s="25">
        <v>4.8728071343200003</v>
      </c>
    </row>
    <row r="52" spans="1:5" x14ac:dyDescent="0.25">
      <c r="A52" s="37"/>
      <c r="B52" s="24"/>
      <c r="C52" s="26"/>
      <c r="D52" s="37"/>
      <c r="E52" s="27">
        <f>SUM(E50:E51)</f>
        <v>13.533980735950001</v>
      </c>
    </row>
    <row r="53" spans="1:5" x14ac:dyDescent="0.25">
      <c r="A53" s="37">
        <v>21793</v>
      </c>
      <c r="B53" s="24" t="s">
        <v>59</v>
      </c>
      <c r="C53" s="26">
        <v>32509</v>
      </c>
      <c r="D53" s="37" t="s">
        <v>102</v>
      </c>
      <c r="E53" s="25">
        <v>14.8351919845</v>
      </c>
    </row>
    <row r="54" spans="1:5" x14ac:dyDescent="0.25">
      <c r="A54" s="37">
        <v>21793</v>
      </c>
      <c r="B54" s="24" t="s">
        <v>59</v>
      </c>
      <c r="C54" s="26">
        <v>32325</v>
      </c>
      <c r="D54" s="37" t="s">
        <v>122</v>
      </c>
      <c r="E54" s="25">
        <v>2.09891155531</v>
      </c>
    </row>
    <row r="55" spans="1:5" x14ac:dyDescent="0.25">
      <c r="A55" s="175"/>
      <c r="B55" s="28"/>
      <c r="C55" s="175"/>
      <c r="D55" s="160"/>
      <c r="E55" s="128">
        <f>SUM(E53:E54)</f>
        <v>16.93410353981</v>
      </c>
    </row>
    <row r="56" spans="1:5" x14ac:dyDescent="0.25">
      <c r="A56" s="161"/>
      <c r="B56" s="159"/>
      <c r="C56" s="161"/>
      <c r="D56" s="125"/>
      <c r="E56" s="136">
        <f>E28+E29+E32+E33+E36+E39+E40+E41+E42+E45+E46+E47+E48+E49+E52+E55</f>
        <v>104.016329186834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MK277"/>
  <sheetViews>
    <sheetView workbookViewId="0">
      <selection activeCell="X20" sqref="X20"/>
    </sheetView>
  </sheetViews>
  <sheetFormatPr defaultColWidth="8.85546875" defaultRowHeight="15" x14ac:dyDescent="0.25"/>
  <cols>
    <col min="2" max="3" width="9.140625" customWidth="1"/>
    <col min="5" max="5" width="18.140625" style="82" customWidth="1"/>
    <col min="6" max="6" width="9.140625" style="82" customWidth="1"/>
    <col min="7" max="7" width="19" style="82" customWidth="1"/>
    <col min="8" max="8" width="9.140625" style="82" customWidth="1"/>
    <col min="9" max="9" width="14.42578125" style="82" customWidth="1"/>
    <col min="10" max="10" width="8.85546875" style="112" customWidth="1"/>
    <col min="11" max="11" width="9.140625" style="180" customWidth="1"/>
    <col min="12" max="12" width="9.140625" style="119" customWidth="1"/>
    <col min="13" max="13" width="15.140625" style="19" customWidth="1"/>
    <col min="14" max="14" width="9.140625" style="19" customWidth="1"/>
    <col min="15" max="15" width="9.140625" style="166" customWidth="1"/>
    <col min="16" max="16" width="9.140625" style="18" customWidth="1"/>
    <col min="17" max="17" width="12.140625" customWidth="1"/>
    <col min="18" max="18" width="9.140625" customWidth="1"/>
    <col min="19" max="21" width="9.140625" style="11" customWidth="1"/>
    <col min="22" max="23" width="9.140625" customWidth="1"/>
  </cols>
  <sheetData>
    <row r="1" spans="1:24" ht="45" x14ac:dyDescent="0.25">
      <c r="A1" s="487" t="s">
        <v>123</v>
      </c>
      <c r="B1" s="487"/>
      <c r="C1" s="487"/>
      <c r="D1" s="487"/>
      <c r="E1" s="488" t="s">
        <v>1</v>
      </c>
      <c r="F1" s="488"/>
      <c r="G1" s="488"/>
      <c r="H1" s="488"/>
      <c r="I1" s="70"/>
      <c r="J1" s="101"/>
      <c r="K1" s="142" t="s">
        <v>2</v>
      </c>
      <c r="L1" s="53" t="s">
        <v>3</v>
      </c>
      <c r="M1" s="489" t="s">
        <v>4</v>
      </c>
      <c r="N1" s="489"/>
      <c r="O1" s="169" t="s">
        <v>5</v>
      </c>
      <c r="P1" s="490" t="s">
        <v>6</v>
      </c>
      <c r="Q1" s="490"/>
      <c r="R1" s="491" t="s">
        <v>7</v>
      </c>
      <c r="S1" s="492" t="s">
        <v>8</v>
      </c>
      <c r="T1" s="493"/>
      <c r="U1" s="494"/>
      <c r="V1" s="88" t="s">
        <v>9</v>
      </c>
      <c r="W1" s="49"/>
      <c r="X1" s="61" t="s">
        <v>124</v>
      </c>
    </row>
    <row r="2" spans="1:24" ht="36" x14ac:dyDescent="0.25">
      <c r="A2" s="5" t="s">
        <v>10</v>
      </c>
      <c r="B2" s="2" t="s">
        <v>11</v>
      </c>
      <c r="C2" s="2" t="s">
        <v>12</v>
      </c>
      <c r="D2" s="3" t="s">
        <v>13</v>
      </c>
      <c r="E2" s="71" t="s">
        <v>125</v>
      </c>
      <c r="F2" s="72" t="s">
        <v>15</v>
      </c>
      <c r="G2" s="71" t="s">
        <v>16</v>
      </c>
      <c r="H2" s="72" t="s">
        <v>17</v>
      </c>
      <c r="I2" s="71" t="s">
        <v>18</v>
      </c>
      <c r="J2" s="102" t="s">
        <v>19</v>
      </c>
      <c r="K2" s="135" t="s">
        <v>20</v>
      </c>
      <c r="L2" s="52" t="s">
        <v>21</v>
      </c>
      <c r="M2" s="113" t="s">
        <v>22</v>
      </c>
      <c r="N2" s="68" t="s">
        <v>23</v>
      </c>
      <c r="O2" s="164" t="s">
        <v>24</v>
      </c>
      <c r="P2" s="30" t="s">
        <v>25</v>
      </c>
      <c r="Q2" s="47" t="s">
        <v>26</v>
      </c>
      <c r="R2" s="491"/>
      <c r="S2" s="94" t="s">
        <v>27</v>
      </c>
      <c r="T2" s="94" t="s">
        <v>28</v>
      </c>
      <c r="U2" s="94" t="s">
        <v>29</v>
      </c>
      <c r="V2" s="92" t="s">
        <v>30</v>
      </c>
      <c r="W2" s="50" t="s">
        <v>31</v>
      </c>
    </row>
    <row r="3" spans="1:24" ht="15" customHeight="1" x14ac:dyDescent="0.25">
      <c r="A3" s="1">
        <v>10078</v>
      </c>
      <c r="B3" s="1" t="s">
        <v>32</v>
      </c>
      <c r="C3" s="1" t="s">
        <v>33</v>
      </c>
      <c r="D3" s="4">
        <v>37.953629999999997</v>
      </c>
      <c r="E3" s="79" t="s">
        <v>34</v>
      </c>
      <c r="F3" s="74">
        <v>37.953628000000002</v>
      </c>
      <c r="G3" s="73"/>
      <c r="H3" s="74"/>
      <c r="I3" s="74"/>
      <c r="J3" s="105"/>
      <c r="K3" s="157">
        <v>0</v>
      </c>
      <c r="L3" s="54">
        <v>0</v>
      </c>
      <c r="M3" s="115"/>
      <c r="N3" s="67"/>
      <c r="O3" s="130"/>
      <c r="P3" s="147">
        <f t="shared" ref="P3:P23" si="0">D3-Q3</f>
        <v>37.953629999999997</v>
      </c>
      <c r="Q3" s="16">
        <v>0</v>
      </c>
      <c r="R3" s="8">
        <v>0</v>
      </c>
      <c r="S3" s="13">
        <v>0</v>
      </c>
      <c r="T3" s="13">
        <v>23.925619999999999</v>
      </c>
      <c r="U3" s="13">
        <v>10.7065</v>
      </c>
      <c r="V3" s="45">
        <v>0</v>
      </c>
      <c r="W3" s="182">
        <f t="shared" ref="W3:W23" si="1">D3-(S3+T3+U3+V3)</f>
        <v>3.3215099999999964</v>
      </c>
    </row>
    <row r="4" spans="1:24" ht="15" customHeight="1" x14ac:dyDescent="0.25">
      <c r="A4" s="1">
        <v>10091</v>
      </c>
      <c r="B4" s="1" t="s">
        <v>32</v>
      </c>
      <c r="C4" s="1" t="s">
        <v>33</v>
      </c>
      <c r="D4" s="4">
        <v>13.760109999999999</v>
      </c>
      <c r="E4" s="79" t="s">
        <v>39</v>
      </c>
      <c r="F4" s="74">
        <v>13.760111999999999</v>
      </c>
      <c r="G4" s="75"/>
      <c r="H4" s="76"/>
      <c r="I4" s="77"/>
      <c r="J4" s="109"/>
      <c r="K4" s="157">
        <v>12.966746000000001</v>
      </c>
      <c r="L4" s="54">
        <v>0</v>
      </c>
      <c r="M4" s="115"/>
      <c r="N4" s="67"/>
      <c r="O4" s="173"/>
      <c r="P4" s="147">
        <f t="shared" si="0"/>
        <v>13.760109999999999</v>
      </c>
      <c r="Q4" s="16">
        <v>0</v>
      </c>
      <c r="R4" s="8">
        <v>0</v>
      </c>
      <c r="S4" s="13">
        <v>2.5828E-2</v>
      </c>
      <c r="T4" s="13">
        <v>0</v>
      </c>
      <c r="U4" s="13">
        <v>0</v>
      </c>
      <c r="V4" s="45">
        <v>0</v>
      </c>
      <c r="W4" s="182">
        <f t="shared" si="1"/>
        <v>13.734281999999999</v>
      </c>
    </row>
    <row r="5" spans="1:24" ht="15" customHeight="1" x14ac:dyDescent="0.25">
      <c r="A5" s="1">
        <v>10099</v>
      </c>
      <c r="B5" s="1" t="s">
        <v>32</v>
      </c>
      <c r="C5" s="1" t="s">
        <v>33</v>
      </c>
      <c r="D5" s="4">
        <v>37.620489999999997</v>
      </c>
      <c r="E5" s="75"/>
      <c r="F5" s="76"/>
      <c r="G5" s="75"/>
      <c r="H5" s="76"/>
      <c r="I5" s="74"/>
      <c r="J5" s="105"/>
      <c r="K5" s="157">
        <v>0</v>
      </c>
      <c r="L5" s="54">
        <v>0</v>
      </c>
      <c r="M5" s="115" t="s">
        <v>126</v>
      </c>
      <c r="N5" s="65">
        <v>37.620489999999997</v>
      </c>
      <c r="O5" s="130"/>
      <c r="P5" s="147">
        <f t="shared" si="0"/>
        <v>0</v>
      </c>
      <c r="Q5" s="16">
        <v>37.620489999999997</v>
      </c>
      <c r="R5" s="206">
        <v>6.6196429999999999</v>
      </c>
      <c r="S5" s="13">
        <v>17.686561000000001</v>
      </c>
      <c r="T5" s="13">
        <v>0</v>
      </c>
      <c r="U5" s="13">
        <v>13.31419</v>
      </c>
      <c r="V5" s="45">
        <v>0</v>
      </c>
      <c r="W5" s="182">
        <f t="shared" si="1"/>
        <v>6.6197389999999956</v>
      </c>
    </row>
    <row r="6" spans="1:24" ht="15" customHeight="1" x14ac:dyDescent="0.25">
      <c r="A6" s="1">
        <v>10106</v>
      </c>
      <c r="B6" s="1" t="s">
        <v>32</v>
      </c>
      <c r="C6" s="1" t="s">
        <v>33</v>
      </c>
      <c r="D6" s="4">
        <v>41.158259999999999</v>
      </c>
      <c r="E6" s="79" t="s">
        <v>37</v>
      </c>
      <c r="F6" s="74">
        <v>40.795163000000002</v>
      </c>
      <c r="G6" s="78" t="s">
        <v>34</v>
      </c>
      <c r="H6" s="77">
        <v>0.36309200000000003</v>
      </c>
      <c r="I6" s="77"/>
      <c r="J6" s="109"/>
      <c r="K6" s="157">
        <v>0</v>
      </c>
      <c r="L6" s="54">
        <v>0</v>
      </c>
      <c r="M6" s="115"/>
      <c r="N6" s="67"/>
      <c r="O6" s="130"/>
      <c r="P6" s="147">
        <f t="shared" si="0"/>
        <v>0</v>
      </c>
      <c r="Q6" s="16">
        <v>41.158259999999999</v>
      </c>
      <c r="R6" s="8">
        <v>0</v>
      </c>
      <c r="S6" s="13">
        <v>35.435740000000003</v>
      </c>
      <c r="T6" s="13">
        <v>4.4130909999999997</v>
      </c>
      <c r="U6" s="13">
        <v>0</v>
      </c>
      <c r="V6" s="45">
        <v>0</v>
      </c>
      <c r="W6" s="182">
        <f t="shared" si="1"/>
        <v>1.3094289999999944</v>
      </c>
    </row>
    <row r="7" spans="1:24" ht="15" customHeight="1" x14ac:dyDescent="0.25">
      <c r="A7" s="1">
        <v>10107</v>
      </c>
      <c r="B7" s="1" t="s">
        <v>32</v>
      </c>
      <c r="C7" s="1" t="s">
        <v>33</v>
      </c>
      <c r="D7" s="4">
        <v>5.5097129999999996</v>
      </c>
      <c r="E7" s="79" t="s">
        <v>37</v>
      </c>
      <c r="F7" s="74">
        <v>5.5097129999999996</v>
      </c>
      <c r="G7" s="78"/>
      <c r="H7" s="77"/>
      <c r="I7" s="77"/>
      <c r="J7" s="109"/>
      <c r="K7" s="157">
        <v>2.5773470000000001</v>
      </c>
      <c r="L7" s="54">
        <v>0</v>
      </c>
      <c r="M7" s="115"/>
      <c r="N7" s="67"/>
      <c r="O7" s="173"/>
      <c r="P7" s="147">
        <f t="shared" si="0"/>
        <v>5.5097129999999996</v>
      </c>
      <c r="Q7" s="16">
        <v>0</v>
      </c>
      <c r="R7" s="8">
        <v>0</v>
      </c>
      <c r="S7" s="13">
        <v>5.5097129999999996</v>
      </c>
      <c r="T7" s="13">
        <v>0</v>
      </c>
      <c r="U7" s="13">
        <v>0</v>
      </c>
      <c r="V7" s="45">
        <v>0</v>
      </c>
      <c r="W7" s="182">
        <f t="shared" si="1"/>
        <v>0</v>
      </c>
    </row>
    <row r="8" spans="1:24" ht="15" customHeight="1" x14ac:dyDescent="0.25">
      <c r="A8" s="1">
        <v>10108</v>
      </c>
      <c r="B8" s="1" t="s">
        <v>32</v>
      </c>
      <c r="C8" s="1" t="s">
        <v>33</v>
      </c>
      <c r="D8" s="4">
        <v>7.6802049999999999</v>
      </c>
      <c r="E8" s="79" t="s">
        <v>37</v>
      </c>
      <c r="F8" s="74">
        <v>7.6802049999999999</v>
      </c>
      <c r="G8" s="78"/>
      <c r="H8" s="77"/>
      <c r="I8" s="77"/>
      <c r="J8" s="109"/>
      <c r="K8" s="157">
        <v>0</v>
      </c>
      <c r="L8" s="54">
        <v>0</v>
      </c>
      <c r="M8" s="115"/>
      <c r="N8" s="67"/>
      <c r="O8" s="173"/>
      <c r="P8" s="147">
        <f t="shared" si="0"/>
        <v>7.6802049999999999</v>
      </c>
      <c r="Q8" s="16">
        <v>0</v>
      </c>
      <c r="R8" s="8">
        <v>0</v>
      </c>
      <c r="S8" s="13">
        <v>7.6802049999999999</v>
      </c>
      <c r="T8" s="13">
        <v>0</v>
      </c>
      <c r="U8" s="13">
        <v>0</v>
      </c>
      <c r="V8" s="45">
        <v>0</v>
      </c>
      <c r="W8" s="182">
        <f t="shared" si="1"/>
        <v>0</v>
      </c>
    </row>
    <row r="9" spans="1:24" ht="15" customHeight="1" x14ac:dyDescent="0.25">
      <c r="A9" s="1">
        <v>10946</v>
      </c>
      <c r="B9" s="1" t="s">
        <v>32</v>
      </c>
      <c r="C9" s="1" t="s">
        <v>41</v>
      </c>
      <c r="D9" s="4">
        <v>51.501959999999997</v>
      </c>
      <c r="E9" s="79" t="s">
        <v>37</v>
      </c>
      <c r="F9" s="74">
        <v>51.501961000000001</v>
      </c>
      <c r="G9" s="78"/>
      <c r="H9" s="77"/>
      <c r="I9" s="77"/>
      <c r="J9" s="109"/>
      <c r="K9" s="157">
        <f>46.3309+1.419031+1.419031</f>
        <v>49.168961999999993</v>
      </c>
      <c r="L9" s="54">
        <v>0</v>
      </c>
      <c r="M9" s="115"/>
      <c r="N9" s="67"/>
      <c r="O9" s="130"/>
      <c r="P9" s="147">
        <f t="shared" si="0"/>
        <v>51.501959999999997</v>
      </c>
      <c r="Q9" s="16">
        <v>0</v>
      </c>
      <c r="R9" s="8">
        <v>0</v>
      </c>
      <c r="S9" s="13">
        <v>1.204602</v>
      </c>
      <c r="T9" s="13">
        <v>21.173670000000001</v>
      </c>
      <c r="U9" s="13">
        <v>26.837289999999999</v>
      </c>
      <c r="V9" s="45">
        <v>0</v>
      </c>
      <c r="W9" s="182">
        <f t="shared" si="1"/>
        <v>2.2863979999999913</v>
      </c>
    </row>
    <row r="10" spans="1:24" ht="15" customHeight="1" x14ac:dyDescent="0.25">
      <c r="A10" s="1">
        <v>10947</v>
      </c>
      <c r="B10" s="1" t="s">
        <v>32</v>
      </c>
      <c r="C10" s="1" t="s">
        <v>41</v>
      </c>
      <c r="D10" s="4">
        <v>52.982289999999999</v>
      </c>
      <c r="E10" s="79" t="s">
        <v>37</v>
      </c>
      <c r="F10" s="74">
        <v>52.982294000000003</v>
      </c>
      <c r="G10" s="78"/>
      <c r="H10" s="77"/>
      <c r="I10" s="77"/>
      <c r="J10" s="109"/>
      <c r="K10" s="157">
        <f>10.692732+18.275835</f>
        <v>28.968567</v>
      </c>
      <c r="L10" s="54">
        <v>12.966749999999999</v>
      </c>
      <c r="M10" s="115"/>
      <c r="N10" s="67"/>
      <c r="O10" s="130"/>
      <c r="P10" s="147">
        <f t="shared" si="0"/>
        <v>52.982289999999999</v>
      </c>
      <c r="Q10" s="16">
        <v>0</v>
      </c>
      <c r="R10" s="8">
        <f>7.535238+6.090555+0.014713</f>
        <v>13.640506</v>
      </c>
      <c r="S10" s="13">
        <v>2.8031169999999999</v>
      </c>
      <c r="T10" s="13">
        <v>9.6186109999999996</v>
      </c>
      <c r="U10" s="13">
        <v>28.78633</v>
      </c>
      <c r="V10" s="45">
        <v>0</v>
      </c>
      <c r="W10" s="182">
        <f t="shared" si="1"/>
        <v>11.774231999999998</v>
      </c>
    </row>
    <row r="11" spans="1:24" ht="15" customHeight="1" x14ac:dyDescent="0.25">
      <c r="A11" s="1">
        <v>10950</v>
      </c>
      <c r="B11" s="1" t="s">
        <v>32</v>
      </c>
      <c r="C11" s="1" t="s">
        <v>41</v>
      </c>
      <c r="D11" s="4">
        <v>26.790939999999999</v>
      </c>
      <c r="E11" s="79" t="s">
        <v>34</v>
      </c>
      <c r="F11" s="74">
        <v>26.790939999999999</v>
      </c>
      <c r="G11" s="75"/>
      <c r="H11" s="76"/>
      <c r="I11" s="77"/>
      <c r="J11" s="109"/>
      <c r="K11" s="157">
        <v>1.2331780000000001</v>
      </c>
      <c r="L11" s="54">
        <v>0</v>
      </c>
      <c r="M11" s="114"/>
      <c r="N11" s="66"/>
      <c r="O11" s="127"/>
      <c r="P11" s="147">
        <f t="shared" si="0"/>
        <v>26.790939999999999</v>
      </c>
      <c r="Q11" s="16">
        <v>0</v>
      </c>
      <c r="R11" s="8">
        <f>12.150149+0.056098</f>
        <v>12.206247000000001</v>
      </c>
      <c r="S11" s="13">
        <v>2.2246730000000001</v>
      </c>
      <c r="T11" s="13">
        <v>0.91847400000000001</v>
      </c>
      <c r="U11" s="13">
        <v>7.5714519999999998</v>
      </c>
      <c r="V11" s="45">
        <v>0</v>
      </c>
      <c r="W11" s="182">
        <f t="shared" si="1"/>
        <v>16.076340999999999</v>
      </c>
    </row>
    <row r="12" spans="1:24" ht="15" customHeight="1" x14ac:dyDescent="0.25">
      <c r="A12" s="1">
        <v>10951</v>
      </c>
      <c r="B12" s="1" t="s">
        <v>32</v>
      </c>
      <c r="C12" s="1" t="s">
        <v>41</v>
      </c>
      <c r="D12" s="4">
        <v>10.134499999999999</v>
      </c>
      <c r="E12" s="75" t="s">
        <v>48</v>
      </c>
      <c r="F12" s="76">
        <v>10.134499999999999</v>
      </c>
      <c r="G12" s="75"/>
      <c r="H12" s="76"/>
      <c r="I12" s="74"/>
      <c r="J12" s="105"/>
      <c r="K12" s="157">
        <v>0</v>
      </c>
      <c r="L12" s="54">
        <v>0</v>
      </c>
      <c r="M12" s="115"/>
      <c r="N12" s="66"/>
      <c r="O12" s="127"/>
      <c r="P12" s="147">
        <f t="shared" si="0"/>
        <v>10.134499999999999</v>
      </c>
      <c r="Q12" s="16">
        <v>0</v>
      </c>
      <c r="R12" s="8">
        <v>0</v>
      </c>
      <c r="S12" s="13">
        <v>3.9774419999999999</v>
      </c>
      <c r="T12" s="13">
        <v>1.9430000000000001E-3</v>
      </c>
      <c r="U12" s="13">
        <v>0.23014299999999999</v>
      </c>
      <c r="V12" s="45">
        <v>0</v>
      </c>
      <c r="W12" s="182">
        <f t="shared" si="1"/>
        <v>5.9249719999999995</v>
      </c>
    </row>
    <row r="13" spans="1:24" ht="15" customHeight="1" x14ac:dyDescent="0.25">
      <c r="A13" s="1">
        <v>10955</v>
      </c>
      <c r="B13" s="1" t="s">
        <v>32</v>
      </c>
      <c r="C13" s="1" t="s">
        <v>41</v>
      </c>
      <c r="D13" s="4">
        <v>25.178820000000002</v>
      </c>
      <c r="E13" s="75" t="s">
        <v>34</v>
      </c>
      <c r="F13" s="76">
        <v>25.178820000000002</v>
      </c>
      <c r="G13" s="78"/>
      <c r="H13" s="77"/>
      <c r="I13" s="77"/>
      <c r="J13" s="109"/>
      <c r="K13" s="157">
        <v>0</v>
      </c>
      <c r="L13" s="54">
        <v>0</v>
      </c>
      <c r="M13" s="114"/>
      <c r="N13" s="66"/>
      <c r="O13" s="127"/>
      <c r="P13" s="147">
        <f t="shared" si="0"/>
        <v>25.178820000000002</v>
      </c>
      <c r="Q13" s="16">
        <v>0</v>
      </c>
      <c r="R13" s="8">
        <v>0</v>
      </c>
      <c r="S13" s="13">
        <v>0</v>
      </c>
      <c r="T13" s="13">
        <v>5.1744529999999997</v>
      </c>
      <c r="U13" s="13">
        <v>4.0594999999999999</v>
      </c>
      <c r="V13" s="45">
        <v>0</v>
      </c>
      <c r="W13" s="182">
        <f t="shared" si="1"/>
        <v>15.944867000000002</v>
      </c>
    </row>
    <row r="14" spans="1:24" ht="15" customHeight="1" x14ac:dyDescent="0.25">
      <c r="A14" s="1">
        <v>10957</v>
      </c>
      <c r="B14" s="1" t="s">
        <v>32</v>
      </c>
      <c r="C14" s="1" t="s">
        <v>41</v>
      </c>
      <c r="D14" s="4">
        <v>42.369599999999998</v>
      </c>
      <c r="E14" s="79" t="s">
        <v>37</v>
      </c>
      <c r="F14" s="74">
        <v>42.369599999999998</v>
      </c>
      <c r="G14" s="79"/>
      <c r="H14" s="74"/>
      <c r="I14" s="77"/>
      <c r="J14" s="109"/>
      <c r="K14" s="157">
        <v>0.18808900000000001</v>
      </c>
      <c r="L14" s="54">
        <v>2.5773470000000001</v>
      </c>
      <c r="M14" s="114"/>
      <c r="N14" s="66"/>
      <c r="O14" s="127"/>
      <c r="P14" s="147">
        <f t="shared" si="0"/>
        <v>24.677389999999999</v>
      </c>
      <c r="Q14" s="16">
        <v>17.692209999999999</v>
      </c>
      <c r="R14" s="8">
        <v>0</v>
      </c>
      <c r="S14" s="13">
        <v>15.15875</v>
      </c>
      <c r="T14" s="13">
        <v>15.60042</v>
      </c>
      <c r="U14" s="13">
        <v>2.5237609999999999</v>
      </c>
      <c r="V14" s="45">
        <v>0</v>
      </c>
      <c r="W14" s="182">
        <f t="shared" si="1"/>
        <v>9.0866690000000006</v>
      </c>
    </row>
    <row r="15" spans="1:24" ht="15" customHeight="1" x14ac:dyDescent="0.25">
      <c r="A15" s="1">
        <v>10964</v>
      </c>
      <c r="B15" s="1" t="s">
        <v>32</v>
      </c>
      <c r="C15" s="1" t="s">
        <v>41</v>
      </c>
      <c r="D15" s="4">
        <v>58.896709999999999</v>
      </c>
      <c r="E15" s="79"/>
      <c r="F15" s="74"/>
      <c r="G15" s="75"/>
      <c r="H15" s="76"/>
      <c r="I15" s="77"/>
      <c r="J15" s="109"/>
      <c r="K15" s="157">
        <v>0</v>
      </c>
      <c r="L15" s="54">
        <v>0</v>
      </c>
      <c r="M15" s="114" t="s">
        <v>126</v>
      </c>
      <c r="N15" s="66">
        <v>58.896709999999999</v>
      </c>
      <c r="O15" s="127"/>
      <c r="P15" s="147">
        <f t="shared" si="0"/>
        <v>0</v>
      </c>
      <c r="Q15" s="16">
        <v>58.896709999999999</v>
      </c>
      <c r="R15" s="8">
        <v>9.4678330000000006</v>
      </c>
      <c r="S15" s="13">
        <v>0</v>
      </c>
      <c r="T15" s="13">
        <v>6.4327170000000002</v>
      </c>
      <c r="U15" s="13">
        <v>36.409309999999998</v>
      </c>
      <c r="V15" s="45">
        <v>0</v>
      </c>
      <c r="W15" s="182">
        <f t="shared" si="1"/>
        <v>16.054682999999997</v>
      </c>
    </row>
    <row r="16" spans="1:24" ht="15" customHeight="1" x14ac:dyDescent="0.25">
      <c r="A16" s="1">
        <v>10972</v>
      </c>
      <c r="B16" s="1" t="s">
        <v>32</v>
      </c>
      <c r="C16" s="1" t="s">
        <v>41</v>
      </c>
      <c r="D16" s="4">
        <v>19.258099999999999</v>
      </c>
      <c r="E16" s="79"/>
      <c r="F16" s="74"/>
      <c r="G16" s="78"/>
      <c r="H16" s="77"/>
      <c r="I16" s="77"/>
      <c r="J16" s="109"/>
      <c r="K16" s="157">
        <v>0</v>
      </c>
      <c r="L16" s="54">
        <v>0</v>
      </c>
      <c r="M16" s="114" t="s">
        <v>36</v>
      </c>
      <c r="N16" s="66">
        <v>19.258099999999999</v>
      </c>
      <c r="O16" s="127"/>
      <c r="P16" s="147">
        <f t="shared" si="0"/>
        <v>0</v>
      </c>
      <c r="Q16" s="16">
        <v>19.258099999999999</v>
      </c>
      <c r="R16" s="8">
        <v>5.1928970000000003</v>
      </c>
      <c r="S16" s="13">
        <v>0.448494</v>
      </c>
      <c r="T16" s="13">
        <v>12.74919</v>
      </c>
      <c r="U16" s="13">
        <v>0.86751800000000001</v>
      </c>
      <c r="V16" s="45">
        <v>0</v>
      </c>
      <c r="W16" s="182">
        <f t="shared" si="1"/>
        <v>5.1928979999999978</v>
      </c>
    </row>
    <row r="17" spans="1:24" ht="15" customHeight="1" x14ac:dyDescent="0.25">
      <c r="A17" s="1">
        <v>10973</v>
      </c>
      <c r="B17" s="1" t="s">
        <v>32</v>
      </c>
      <c r="C17" s="1" t="s">
        <v>41</v>
      </c>
      <c r="D17" s="4">
        <v>45.013739999999999</v>
      </c>
      <c r="E17" s="79" t="s">
        <v>37</v>
      </c>
      <c r="F17" s="74">
        <v>45.013739999999999</v>
      </c>
      <c r="G17" s="75"/>
      <c r="H17" s="76"/>
      <c r="I17" s="77"/>
      <c r="J17" s="109"/>
      <c r="K17" s="157">
        <v>10.020156</v>
      </c>
      <c r="L17" s="54">
        <v>0</v>
      </c>
      <c r="M17" s="114"/>
      <c r="N17" s="66"/>
      <c r="O17" s="127"/>
      <c r="P17" s="147">
        <f t="shared" si="0"/>
        <v>45.013739999999999</v>
      </c>
      <c r="Q17" s="16">
        <v>0</v>
      </c>
      <c r="R17" s="8">
        <v>1.978132</v>
      </c>
      <c r="S17" s="13">
        <v>12.400069999999999</v>
      </c>
      <c r="T17" s="13">
        <v>6.7780430000000003</v>
      </c>
      <c r="U17" s="13">
        <v>14.77618</v>
      </c>
      <c r="V17" s="45">
        <v>10.020182</v>
      </c>
      <c r="W17" s="182">
        <f t="shared" si="1"/>
        <v>1.0392650000000003</v>
      </c>
    </row>
    <row r="18" spans="1:24" ht="15" customHeight="1" x14ac:dyDescent="0.25">
      <c r="A18" s="1">
        <v>10974</v>
      </c>
      <c r="B18" s="1" t="s">
        <v>32</v>
      </c>
      <c r="C18" s="1" t="s">
        <v>41</v>
      </c>
      <c r="D18" s="4">
        <v>72.430980000000005</v>
      </c>
      <c r="E18" s="79" t="s">
        <v>34</v>
      </c>
      <c r="F18" s="74">
        <v>72.430980000000005</v>
      </c>
      <c r="G18" s="79"/>
      <c r="H18" s="74"/>
      <c r="I18" s="79"/>
      <c r="J18" s="105"/>
      <c r="K18" s="157">
        <v>0</v>
      </c>
      <c r="L18" s="54">
        <v>0</v>
      </c>
      <c r="M18" s="114"/>
      <c r="N18" s="66"/>
      <c r="O18" s="127"/>
      <c r="P18" s="147">
        <f t="shared" si="0"/>
        <v>70.684246000000002</v>
      </c>
      <c r="Q18" s="16">
        <v>1.746734</v>
      </c>
      <c r="R18" s="8">
        <v>0</v>
      </c>
      <c r="S18" s="13">
        <v>7.1862459999999997</v>
      </c>
      <c r="T18" s="13">
        <v>38.772689999999997</v>
      </c>
      <c r="U18" s="13">
        <v>18.99146</v>
      </c>
      <c r="V18" s="45">
        <v>0</v>
      </c>
      <c r="W18" s="182">
        <f t="shared" si="1"/>
        <v>7.4805840000000074</v>
      </c>
    </row>
    <row r="19" spans="1:24" ht="15" customHeight="1" x14ac:dyDescent="0.25">
      <c r="A19" s="1">
        <v>10975</v>
      </c>
      <c r="B19" s="1" t="s">
        <v>32</v>
      </c>
      <c r="C19" s="1" t="s">
        <v>41</v>
      </c>
      <c r="D19" s="4">
        <v>12.873849999999999</v>
      </c>
      <c r="E19" s="79" t="s">
        <v>37</v>
      </c>
      <c r="F19" s="74">
        <v>12.873849999999999</v>
      </c>
      <c r="G19" s="79"/>
      <c r="H19" s="74"/>
      <c r="I19" s="74"/>
      <c r="J19" s="105"/>
      <c r="K19" s="157">
        <v>1.996397</v>
      </c>
      <c r="L19" s="54">
        <v>46.3309</v>
      </c>
      <c r="M19" s="114"/>
      <c r="N19" s="66"/>
      <c r="O19" s="173"/>
      <c r="P19" s="147">
        <f t="shared" si="0"/>
        <v>1.5042099999999987</v>
      </c>
      <c r="Q19" s="16">
        <v>11.36964</v>
      </c>
      <c r="R19" s="8">
        <v>0</v>
      </c>
      <c r="S19" s="13">
        <v>5.2514370000000001</v>
      </c>
      <c r="T19" s="13">
        <v>7.6224150000000002</v>
      </c>
      <c r="U19" s="13">
        <v>0</v>
      </c>
      <c r="V19" s="45">
        <v>0</v>
      </c>
      <c r="W19" s="182">
        <f t="shared" si="1"/>
        <v>-2.0000000002795559E-6</v>
      </c>
    </row>
    <row r="20" spans="1:24" ht="15" customHeight="1" x14ac:dyDescent="0.25">
      <c r="A20" s="1">
        <v>10976</v>
      </c>
      <c r="B20" s="1" t="s">
        <v>32</v>
      </c>
      <c r="C20" s="1" t="s">
        <v>41</v>
      </c>
      <c r="D20" s="4">
        <v>24.76764</v>
      </c>
      <c r="E20" s="79" t="s">
        <v>37</v>
      </c>
      <c r="F20" s="74">
        <v>24.76764</v>
      </c>
      <c r="G20" s="79"/>
      <c r="H20" s="74"/>
      <c r="I20" s="77"/>
      <c r="J20" s="109"/>
      <c r="K20" s="157">
        <f>0.255026+1.415516+11.454343</f>
        <v>13.124884999999999</v>
      </c>
      <c r="L20" s="54">
        <v>0</v>
      </c>
      <c r="M20" s="114"/>
      <c r="N20" s="66"/>
      <c r="O20" s="127"/>
      <c r="P20" s="147">
        <f t="shared" si="0"/>
        <v>24.76764</v>
      </c>
      <c r="Q20" s="16">
        <v>0</v>
      </c>
      <c r="R20" s="8">
        <f>0.280683+4.397702</f>
        <v>4.6783849999999996</v>
      </c>
      <c r="S20" s="13">
        <v>18.06493</v>
      </c>
      <c r="T20" s="13">
        <v>0</v>
      </c>
      <c r="U20" s="13">
        <v>0.54281299999999999</v>
      </c>
      <c r="V20" s="45">
        <v>4.5727999999999998E-2</v>
      </c>
      <c r="W20" s="182">
        <f t="shared" si="1"/>
        <v>6.1141690000000004</v>
      </c>
    </row>
    <row r="21" spans="1:24" ht="15" customHeight="1" x14ac:dyDescent="0.25">
      <c r="A21" s="1">
        <v>10977</v>
      </c>
      <c r="B21" s="1" t="s">
        <v>32</v>
      </c>
      <c r="C21" s="1" t="s">
        <v>41</v>
      </c>
      <c r="D21" s="4">
        <v>24.59122</v>
      </c>
      <c r="E21" s="79"/>
      <c r="F21" s="74"/>
      <c r="G21" s="79"/>
      <c r="H21" s="74"/>
      <c r="I21" s="74"/>
      <c r="J21" s="105"/>
      <c r="K21" s="157">
        <v>0</v>
      </c>
      <c r="L21" s="54">
        <v>1.4190309999999999</v>
      </c>
      <c r="M21" s="114" t="s">
        <v>36</v>
      </c>
      <c r="N21" s="66">
        <v>24.59122</v>
      </c>
      <c r="O21" s="127"/>
      <c r="P21" s="147">
        <f t="shared" si="0"/>
        <v>0</v>
      </c>
      <c r="Q21" s="16">
        <v>24.59122</v>
      </c>
      <c r="R21" s="8">
        <v>0</v>
      </c>
      <c r="S21" s="13">
        <v>5.6241089999999998</v>
      </c>
      <c r="T21" s="13">
        <v>18.967110000000002</v>
      </c>
      <c r="U21" s="13">
        <v>0</v>
      </c>
      <c r="V21" s="45">
        <v>0</v>
      </c>
      <c r="W21" s="182">
        <f t="shared" si="1"/>
        <v>9.9999999747524271E-7</v>
      </c>
    </row>
    <row r="22" spans="1:24" x14ac:dyDescent="0.25">
      <c r="A22" s="1">
        <v>22174</v>
      </c>
      <c r="B22" s="1" t="s">
        <v>32</v>
      </c>
      <c r="C22" s="1" t="s">
        <v>41</v>
      </c>
      <c r="D22" s="4">
        <v>61.473909999999997</v>
      </c>
      <c r="E22" s="79"/>
      <c r="F22" s="74"/>
      <c r="G22" s="79"/>
      <c r="H22" s="74"/>
      <c r="I22" s="77"/>
      <c r="J22" s="109"/>
      <c r="K22" s="157">
        <v>0</v>
      </c>
      <c r="L22" s="54">
        <v>0</v>
      </c>
      <c r="M22" s="114" t="s">
        <v>36</v>
      </c>
      <c r="N22" s="66">
        <v>61.473909999999997</v>
      </c>
      <c r="O22" s="127"/>
      <c r="P22" s="147">
        <f t="shared" si="0"/>
        <v>0</v>
      </c>
      <c r="Q22" s="16">
        <v>61.473909999999997</v>
      </c>
      <c r="R22" s="8">
        <v>22.547049999999999</v>
      </c>
      <c r="S22" s="13">
        <v>0</v>
      </c>
      <c r="T22" s="13">
        <v>0</v>
      </c>
      <c r="U22" s="13">
        <v>2.1233379999999999</v>
      </c>
      <c r="V22" s="45">
        <v>1.256068</v>
      </c>
      <c r="W22" s="182">
        <f t="shared" si="1"/>
        <v>58.094503999999993</v>
      </c>
    </row>
    <row r="23" spans="1:24" x14ac:dyDescent="0.25">
      <c r="A23" s="1">
        <v>22180</v>
      </c>
      <c r="B23" s="1" t="s">
        <v>32</v>
      </c>
      <c r="C23" s="1" t="s">
        <v>41</v>
      </c>
      <c r="D23" s="4">
        <v>67.015420000000006</v>
      </c>
      <c r="E23" s="79"/>
      <c r="F23" s="74"/>
      <c r="G23" s="78"/>
      <c r="H23" s="77"/>
      <c r="I23" s="77"/>
      <c r="J23" s="109"/>
      <c r="K23" s="157">
        <v>0</v>
      </c>
      <c r="L23" s="54">
        <v>0</v>
      </c>
      <c r="M23" s="114" t="s">
        <v>36</v>
      </c>
      <c r="N23" s="66">
        <v>67.015420000000006</v>
      </c>
      <c r="O23" s="127"/>
      <c r="P23" s="147">
        <f t="shared" si="0"/>
        <v>0</v>
      </c>
      <c r="Q23" s="16">
        <v>67.015420000000006</v>
      </c>
      <c r="R23" s="8">
        <v>0</v>
      </c>
      <c r="S23" s="13">
        <v>31.01652</v>
      </c>
      <c r="T23" s="13">
        <v>7.3278740000000004</v>
      </c>
      <c r="U23" s="13">
        <v>1.238505</v>
      </c>
      <c r="V23" s="45">
        <v>0</v>
      </c>
      <c r="W23" s="182">
        <f t="shared" si="1"/>
        <v>27.432521000000008</v>
      </c>
    </row>
    <row r="24" spans="1:24" s="58" customFormat="1" x14ac:dyDescent="0.25">
      <c r="A24" s="151" t="s">
        <v>52</v>
      </c>
      <c r="B24" s="151" t="s">
        <v>32</v>
      </c>
      <c r="C24" s="151"/>
      <c r="D24" s="145">
        <f>SUM(D3:D23)</f>
        <v>738.96208799999999</v>
      </c>
      <c r="E24" s="145"/>
      <c r="F24" s="145">
        <f>SUM(F3:F23)</f>
        <v>469.74314599999991</v>
      </c>
      <c r="G24" s="145"/>
      <c r="H24" s="145">
        <f>SUM(H3:H23)</f>
        <v>0.36309200000000003</v>
      </c>
      <c r="I24" s="145"/>
      <c r="J24" s="145">
        <f>SUM(J3:J23)</f>
        <v>0</v>
      </c>
      <c r="K24" s="145">
        <f>SUM(K3:K23)</f>
        <v>120.244327</v>
      </c>
      <c r="L24" s="145">
        <f>SUM(L3:L23)</f>
        <v>63.294027999999997</v>
      </c>
      <c r="M24" s="145"/>
      <c r="N24" s="145">
        <f t="shared" ref="N24:W24" si="2">SUM(N3:N23)</f>
        <v>268.85585000000003</v>
      </c>
      <c r="O24" s="145">
        <f t="shared" si="2"/>
        <v>0</v>
      </c>
      <c r="P24" s="145">
        <f t="shared" si="2"/>
        <v>398.13939399999992</v>
      </c>
      <c r="Q24" s="145">
        <f t="shared" si="2"/>
        <v>340.82269400000001</v>
      </c>
      <c r="R24" s="145">
        <f t="shared" si="2"/>
        <v>76.330692999999997</v>
      </c>
      <c r="S24" s="145">
        <f>SUM(S3:S23)</f>
        <v>171.69843699999996</v>
      </c>
      <c r="T24" s="145">
        <f t="shared" si="2"/>
        <v>179.47632099999998</v>
      </c>
      <c r="U24" s="145">
        <f t="shared" si="2"/>
        <v>168.97828999999996</v>
      </c>
      <c r="V24" s="145">
        <f t="shared" si="2"/>
        <v>11.321978000000001</v>
      </c>
      <c r="W24" s="145">
        <f t="shared" si="2"/>
        <v>207.48706199999998</v>
      </c>
    </row>
    <row r="25" spans="1:24" s="138" customFormat="1" ht="30" x14ac:dyDescent="0.25">
      <c r="A25" s="99"/>
      <c r="B25" s="99"/>
      <c r="C25" s="99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"/>
      <c r="R25" s="100"/>
      <c r="S25" s="485" t="s">
        <v>53</v>
      </c>
      <c r="T25" s="486"/>
      <c r="U25" s="486"/>
      <c r="V25" s="86" t="s">
        <v>127</v>
      </c>
      <c r="W25" s="49"/>
      <c r="X25" s="138" t="s">
        <v>128</v>
      </c>
    </row>
    <row r="26" spans="1:24" s="138" customFormat="1" ht="30" x14ac:dyDescent="0.25">
      <c r="A26" s="99"/>
      <c r="B26" s="99"/>
      <c r="C26" s="99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"/>
      <c r="R26" s="100"/>
      <c r="S26" s="50" t="s">
        <v>54</v>
      </c>
      <c r="T26" s="50" t="s">
        <v>55</v>
      </c>
      <c r="U26" s="50" t="s">
        <v>56</v>
      </c>
      <c r="V26" s="165" t="s">
        <v>57</v>
      </c>
      <c r="W26" s="50" t="s">
        <v>58</v>
      </c>
    </row>
    <row r="27" spans="1:24" x14ac:dyDescent="0.25">
      <c r="A27" s="179">
        <v>8147</v>
      </c>
      <c r="B27" s="179" t="s">
        <v>59</v>
      </c>
      <c r="C27" s="179" t="s">
        <v>33</v>
      </c>
      <c r="D27" s="174">
        <v>13.014720000000001</v>
      </c>
      <c r="E27" s="162" t="s">
        <v>34</v>
      </c>
      <c r="F27" s="133">
        <v>11.780512</v>
      </c>
      <c r="G27" s="162" t="s">
        <v>37</v>
      </c>
      <c r="H27" s="133">
        <v>0.12853500000000001</v>
      </c>
      <c r="I27" s="176"/>
      <c r="J27" s="176"/>
      <c r="K27" s="131">
        <v>0</v>
      </c>
      <c r="L27" s="163">
        <v>0</v>
      </c>
      <c r="M27" s="181"/>
      <c r="N27" s="155"/>
      <c r="O27" s="158">
        <v>1.105674</v>
      </c>
      <c r="P27" s="147">
        <f>D27-Q27</f>
        <v>11.909049</v>
      </c>
      <c r="Q27" s="148">
        <v>1.1056710000000001</v>
      </c>
      <c r="R27" s="167">
        <f>1.468461+1.310407</f>
        <v>2.7788680000000001</v>
      </c>
      <c r="S27" s="150">
        <v>1.298025</v>
      </c>
      <c r="T27" s="150">
        <f>1.468208+3.37143</f>
        <v>4.8396379999999999</v>
      </c>
      <c r="U27" s="150">
        <v>0</v>
      </c>
      <c r="V27" s="154">
        <v>0</v>
      </c>
      <c r="W27" s="182">
        <f>D27-(S27+T27+U27+V27)</f>
        <v>6.8770570000000006</v>
      </c>
    </row>
    <row r="28" spans="1:24" x14ac:dyDescent="0.25">
      <c r="A28" s="1">
        <v>8148</v>
      </c>
      <c r="B28" s="1" t="s">
        <v>59</v>
      </c>
      <c r="C28" s="1" t="s">
        <v>33</v>
      </c>
      <c r="D28" s="7">
        <v>18.784690000000001</v>
      </c>
      <c r="E28" s="79" t="s">
        <v>39</v>
      </c>
      <c r="F28" s="74">
        <v>18.784690000000001</v>
      </c>
      <c r="G28" s="79"/>
      <c r="H28" s="74"/>
      <c r="I28" s="74"/>
      <c r="J28" s="74"/>
      <c r="K28" s="157">
        <v>0</v>
      </c>
      <c r="L28" s="54">
        <v>0.85848000000000002</v>
      </c>
      <c r="M28" s="46"/>
      <c r="N28" s="45"/>
      <c r="O28" s="127"/>
      <c r="P28" s="147">
        <f t="shared" ref="P28:P42" si="3">D28-Q28</f>
        <v>18.784690000000001</v>
      </c>
      <c r="Q28" s="16">
        <v>0</v>
      </c>
      <c r="R28" s="31">
        <v>15.743976</v>
      </c>
      <c r="S28" s="13">
        <f>4.490539+2.375451+0.181661+0.622048+0.662288+0.400625</f>
        <v>8.7326119999999996</v>
      </c>
      <c r="T28" s="13">
        <v>9.9686649999999997</v>
      </c>
      <c r="U28" s="13">
        <v>8.3414000000000002E-2</v>
      </c>
      <c r="V28" s="45">
        <v>0</v>
      </c>
      <c r="W28" s="25">
        <f t="shared" ref="W28:W42" si="4">D28-(S28+T28+U28+V28)</f>
        <v>-9.9999999747524271E-7</v>
      </c>
    </row>
    <row r="29" spans="1:24" x14ac:dyDescent="0.25">
      <c r="A29" s="179">
        <v>8151</v>
      </c>
      <c r="B29" s="179" t="s">
        <v>59</v>
      </c>
      <c r="C29" s="179" t="s">
        <v>33</v>
      </c>
      <c r="D29" s="143">
        <v>43.001220000000004</v>
      </c>
      <c r="E29" s="162" t="s">
        <v>37</v>
      </c>
      <c r="F29" s="133">
        <v>43.001224000000001</v>
      </c>
      <c r="G29" s="152"/>
      <c r="H29" s="176"/>
      <c r="I29" s="176"/>
      <c r="J29" s="141"/>
      <c r="K29" s="131">
        <v>0.99967099999999998</v>
      </c>
      <c r="L29" s="163">
        <v>0</v>
      </c>
      <c r="M29" s="139"/>
      <c r="N29" s="170"/>
      <c r="O29" s="140"/>
      <c r="P29" s="147">
        <f t="shared" si="3"/>
        <v>43.001220000000004</v>
      </c>
      <c r="Q29" s="16">
        <v>0</v>
      </c>
      <c r="R29" s="149">
        <f>5.583021+5.188343</f>
        <v>10.771363999999998</v>
      </c>
      <c r="S29" s="150">
        <f>0.303923+23.343685+12.247843</f>
        <v>35.895451000000001</v>
      </c>
      <c r="T29" s="150">
        <v>5.5775600000000001</v>
      </c>
      <c r="U29" s="150">
        <v>0</v>
      </c>
      <c r="V29" s="154">
        <v>0</v>
      </c>
      <c r="W29" s="25">
        <f t="shared" si="4"/>
        <v>1.5282090000000039</v>
      </c>
    </row>
    <row r="30" spans="1:24" x14ac:dyDescent="0.25">
      <c r="A30" s="1">
        <v>8160</v>
      </c>
      <c r="B30" s="1" t="s">
        <v>59</v>
      </c>
      <c r="C30" s="1" t="s">
        <v>33</v>
      </c>
      <c r="D30" s="4">
        <v>40.817740000000001</v>
      </c>
      <c r="E30" s="79" t="s">
        <v>39</v>
      </c>
      <c r="F30" s="74">
        <v>40.817735999999996</v>
      </c>
      <c r="G30" s="79"/>
      <c r="H30" s="74"/>
      <c r="K30" s="157">
        <f>3.507056+3.571656</f>
        <v>7.0787119999999994</v>
      </c>
      <c r="L30" s="163">
        <v>0</v>
      </c>
      <c r="M30" s="114"/>
      <c r="N30" s="66"/>
      <c r="O30" s="127"/>
      <c r="P30" s="147">
        <f t="shared" si="3"/>
        <v>40.817740000000001</v>
      </c>
      <c r="Q30" s="16">
        <v>0</v>
      </c>
      <c r="R30" s="8">
        <v>0</v>
      </c>
      <c r="S30" s="13">
        <v>0</v>
      </c>
      <c r="T30" s="13">
        <v>0</v>
      </c>
      <c r="U30" s="13">
        <v>0</v>
      </c>
      <c r="V30" s="45">
        <v>0</v>
      </c>
      <c r="W30" s="25">
        <f t="shared" si="4"/>
        <v>40.817740000000001</v>
      </c>
    </row>
    <row r="31" spans="1:24" x14ac:dyDescent="0.25">
      <c r="A31" s="1">
        <v>8161</v>
      </c>
      <c r="B31" s="1" t="s">
        <v>59</v>
      </c>
      <c r="C31" s="1" t="s">
        <v>33</v>
      </c>
      <c r="D31" s="4">
        <v>26.72775</v>
      </c>
      <c r="E31" s="79"/>
      <c r="F31" s="74"/>
      <c r="G31" s="79"/>
      <c r="H31" s="74"/>
      <c r="I31" s="77"/>
      <c r="J31" s="109"/>
      <c r="K31" s="157">
        <v>0</v>
      </c>
      <c r="L31" s="163">
        <v>0</v>
      </c>
      <c r="M31" s="114" t="s">
        <v>126</v>
      </c>
      <c r="N31" s="66">
        <v>26.727753</v>
      </c>
      <c r="O31" s="127"/>
      <c r="P31" s="147">
        <f t="shared" si="3"/>
        <v>-2.9999999995311555E-6</v>
      </c>
      <c r="Q31" s="16">
        <v>26.727753</v>
      </c>
      <c r="R31" s="8">
        <v>18.220372000000001</v>
      </c>
      <c r="S31" s="13">
        <v>6.3218209999999999</v>
      </c>
      <c r="T31" s="13">
        <v>18.567755999999999</v>
      </c>
      <c r="U31" s="13">
        <v>1.8381769999999999</v>
      </c>
      <c r="V31" s="45">
        <v>0</v>
      </c>
      <c r="W31" s="25">
        <f t="shared" si="4"/>
        <v>-3.9999999970063982E-6</v>
      </c>
    </row>
    <row r="32" spans="1:24" x14ac:dyDescent="0.25">
      <c r="A32" s="1">
        <v>8802</v>
      </c>
      <c r="B32" s="1" t="s">
        <v>59</v>
      </c>
      <c r="C32" s="1" t="s">
        <v>38</v>
      </c>
      <c r="D32" s="4">
        <v>57.274610000000003</v>
      </c>
      <c r="E32" s="79" t="s">
        <v>37</v>
      </c>
      <c r="F32" s="74">
        <v>57.274614</v>
      </c>
      <c r="G32" s="78"/>
      <c r="H32" s="77"/>
      <c r="I32" s="77"/>
      <c r="J32" s="109"/>
      <c r="K32" s="157">
        <v>0</v>
      </c>
      <c r="L32" s="163">
        <v>0</v>
      </c>
      <c r="M32" s="114"/>
      <c r="N32" s="66"/>
      <c r="O32" s="127"/>
      <c r="P32" s="147">
        <f t="shared" si="3"/>
        <v>57.274610000000003</v>
      </c>
      <c r="Q32" s="16">
        <v>0</v>
      </c>
      <c r="R32" s="8">
        <v>10.344106999999999</v>
      </c>
      <c r="S32" s="13">
        <v>12.427246999999999</v>
      </c>
      <c r="T32" s="13">
        <v>44.847366000000001</v>
      </c>
      <c r="U32" s="13">
        <v>0</v>
      </c>
      <c r="V32" s="45">
        <v>0</v>
      </c>
      <c r="W32" s="25">
        <f t="shared" si="4"/>
        <v>-2.9999999995311555E-6</v>
      </c>
      <c r="X32" s="15"/>
    </row>
    <row r="33" spans="1:349" x14ac:dyDescent="0.25">
      <c r="A33" s="1">
        <v>8803</v>
      </c>
      <c r="B33" s="1" t="s">
        <v>59</v>
      </c>
      <c r="C33" s="1" t="s">
        <v>38</v>
      </c>
      <c r="D33" s="4">
        <v>14.73737</v>
      </c>
      <c r="E33" s="79" t="s">
        <v>42</v>
      </c>
      <c r="F33" s="74">
        <v>14.73737</v>
      </c>
      <c r="G33" s="75"/>
      <c r="H33" s="76"/>
      <c r="I33" s="77"/>
      <c r="J33" s="109"/>
      <c r="K33" s="157">
        <f>2.950333+0.081891</f>
        <v>3.0322240000000003</v>
      </c>
      <c r="L33" s="163">
        <v>0</v>
      </c>
      <c r="M33" s="114"/>
      <c r="N33" s="66"/>
      <c r="O33" s="127"/>
      <c r="P33" s="147">
        <f t="shared" si="3"/>
        <v>14.73737</v>
      </c>
      <c r="Q33" s="16">
        <v>0</v>
      </c>
      <c r="R33" s="8">
        <v>0</v>
      </c>
      <c r="S33" s="13">
        <v>0</v>
      </c>
      <c r="T33" s="13">
        <v>8.1890000000000004E-2</v>
      </c>
      <c r="U33" s="13">
        <v>10.728393000000001</v>
      </c>
      <c r="V33" s="45">
        <v>0</v>
      </c>
      <c r="W33" s="25">
        <f t="shared" si="4"/>
        <v>3.9270870000000002</v>
      </c>
    </row>
    <row r="34" spans="1:349" x14ac:dyDescent="0.25">
      <c r="A34" s="1">
        <v>8804</v>
      </c>
      <c r="B34" s="1" t="s">
        <v>59</v>
      </c>
      <c r="C34" s="1" t="s">
        <v>38</v>
      </c>
      <c r="D34" s="4">
        <v>15.584770000000001</v>
      </c>
      <c r="E34" s="79" t="s">
        <v>37</v>
      </c>
      <c r="F34" s="74">
        <v>15.584765000000001</v>
      </c>
      <c r="G34" s="78"/>
      <c r="H34" s="77"/>
      <c r="I34" s="77"/>
      <c r="J34" s="109"/>
      <c r="K34" s="157">
        <f>3.01905</f>
        <v>3.01905</v>
      </c>
      <c r="L34" s="163">
        <v>0</v>
      </c>
      <c r="M34" s="114"/>
      <c r="N34" s="66"/>
      <c r="O34" s="127"/>
      <c r="P34" s="147">
        <f t="shared" si="3"/>
        <v>15.584770000000001</v>
      </c>
      <c r="Q34" s="16">
        <v>0</v>
      </c>
      <c r="R34" s="8">
        <f>0.995384+3.281616</f>
        <v>4.2770000000000001</v>
      </c>
      <c r="S34" s="13">
        <v>6.3479369999999999</v>
      </c>
      <c r="T34" s="13">
        <v>0</v>
      </c>
      <c r="U34" s="13">
        <v>0</v>
      </c>
      <c r="V34" s="45">
        <v>0</v>
      </c>
      <c r="W34" s="25">
        <f t="shared" si="4"/>
        <v>9.2368330000000007</v>
      </c>
    </row>
    <row r="35" spans="1:349" x14ac:dyDescent="0.25">
      <c r="A35" s="1">
        <v>8807</v>
      </c>
      <c r="B35" s="1" t="s">
        <v>59</v>
      </c>
      <c r="C35" s="1" t="s">
        <v>38</v>
      </c>
      <c r="D35" s="4">
        <v>74.752160000000003</v>
      </c>
      <c r="E35" s="79" t="s">
        <v>34</v>
      </c>
      <c r="F35" s="74">
        <v>49.055259</v>
      </c>
      <c r="G35" s="79" t="s">
        <v>46</v>
      </c>
      <c r="H35" s="74">
        <v>25.656555999999998</v>
      </c>
      <c r="I35" s="77"/>
      <c r="J35" s="109"/>
      <c r="K35" s="157">
        <f>8.415508+0.544189</f>
        <v>8.9596970000000002</v>
      </c>
      <c r="L35" s="163">
        <v>0</v>
      </c>
      <c r="M35" s="114"/>
      <c r="N35" s="66"/>
      <c r="O35" s="127">
        <v>7.7309000000000003E-2</v>
      </c>
      <c r="P35" s="147">
        <f t="shared" si="3"/>
        <v>74.674851000000004</v>
      </c>
      <c r="Q35" s="16">
        <v>7.7309000000000003E-2</v>
      </c>
      <c r="R35" s="8">
        <v>0</v>
      </c>
      <c r="S35" s="13">
        <v>36.740853999999999</v>
      </c>
      <c r="T35" s="13">
        <v>19.508336</v>
      </c>
      <c r="U35" s="13">
        <v>13.859951000000001</v>
      </c>
      <c r="V35" s="45">
        <v>4.6145940000000003</v>
      </c>
      <c r="W35" s="25">
        <f t="shared" si="4"/>
        <v>2.8425000000012801E-2</v>
      </c>
    </row>
    <row r="36" spans="1:349" x14ac:dyDescent="0.25">
      <c r="A36" s="1">
        <v>8818</v>
      </c>
      <c r="B36" s="1" t="s">
        <v>59</v>
      </c>
      <c r="C36" s="1" t="s">
        <v>38</v>
      </c>
      <c r="D36" s="4">
        <v>13.025230000000001</v>
      </c>
      <c r="E36" s="79" t="s">
        <v>34</v>
      </c>
      <c r="F36" s="74">
        <v>13.025233999999999</v>
      </c>
      <c r="G36" s="75"/>
      <c r="H36" s="76"/>
      <c r="I36" s="77"/>
      <c r="J36" s="109"/>
      <c r="K36" s="157">
        <v>0</v>
      </c>
      <c r="L36" s="163">
        <v>0</v>
      </c>
      <c r="M36" s="114"/>
      <c r="N36" s="66"/>
      <c r="O36" s="127"/>
      <c r="P36" s="147">
        <f t="shared" si="3"/>
        <v>11.562848000000001</v>
      </c>
      <c r="Q36" s="16">
        <v>1.4623820000000001</v>
      </c>
      <c r="R36" s="8">
        <v>10.58489</v>
      </c>
      <c r="S36" s="13">
        <v>2.3081480000000001</v>
      </c>
      <c r="T36" s="13">
        <v>2.6891929999999999</v>
      </c>
      <c r="U36" s="13">
        <v>8.0278930000000006</v>
      </c>
      <c r="V36" s="45">
        <v>0</v>
      </c>
      <c r="W36" s="25">
        <f t="shared" si="4"/>
        <v>-4.0000000005591119E-6</v>
      </c>
      <c r="X36" s="15"/>
      <c r="AA36" s="15"/>
    </row>
    <row r="37" spans="1:349" x14ac:dyDescent="0.25">
      <c r="A37" s="1">
        <v>8820</v>
      </c>
      <c r="B37" s="1" t="s">
        <v>59</v>
      </c>
      <c r="C37" s="1" t="s">
        <v>38</v>
      </c>
      <c r="D37" s="4">
        <v>22.219200000000001</v>
      </c>
      <c r="E37" s="79" t="s">
        <v>34</v>
      </c>
      <c r="F37" s="74">
        <v>22.219204000000001</v>
      </c>
      <c r="G37" s="79"/>
      <c r="H37" s="74"/>
      <c r="I37" s="77"/>
      <c r="J37" s="109"/>
      <c r="K37" s="157">
        <v>0</v>
      </c>
      <c r="L37" s="54">
        <v>4.674944</v>
      </c>
      <c r="M37" s="114"/>
      <c r="N37" s="66"/>
      <c r="O37" s="127"/>
      <c r="P37" s="147">
        <f t="shared" si="3"/>
        <v>-4.0000000005591119E-6</v>
      </c>
      <c r="Q37" s="16">
        <v>22.219204000000001</v>
      </c>
      <c r="R37" s="8">
        <f>2.268811+0.346721</f>
        <v>2.615532</v>
      </c>
      <c r="S37" s="13">
        <v>21.782292000000002</v>
      </c>
      <c r="T37" s="13">
        <v>0.427425</v>
      </c>
      <c r="U37" s="13">
        <v>0</v>
      </c>
      <c r="V37" s="45">
        <v>0</v>
      </c>
      <c r="W37" s="25">
        <f t="shared" si="4"/>
        <v>9.4829999999994641E-3</v>
      </c>
    </row>
    <row r="38" spans="1:349" x14ac:dyDescent="0.25">
      <c r="A38" s="1">
        <v>8848</v>
      </c>
      <c r="B38" s="1" t="s">
        <v>59</v>
      </c>
      <c r="C38" s="1" t="s">
        <v>38</v>
      </c>
      <c r="D38" s="4">
        <v>12.00853</v>
      </c>
      <c r="E38" s="79" t="s">
        <v>37</v>
      </c>
      <c r="F38" s="74">
        <v>12.008528</v>
      </c>
      <c r="G38" s="78"/>
      <c r="H38" s="77"/>
      <c r="I38" s="77"/>
      <c r="J38" s="109"/>
      <c r="K38" s="157">
        <v>0.104694</v>
      </c>
      <c r="L38" s="54">
        <v>0</v>
      </c>
      <c r="M38" s="114"/>
      <c r="N38" s="66"/>
      <c r="O38" s="127"/>
      <c r="P38" s="147">
        <f t="shared" si="3"/>
        <v>12.00853</v>
      </c>
      <c r="Q38" s="16">
        <v>0</v>
      </c>
      <c r="R38" s="8">
        <v>3.606236</v>
      </c>
      <c r="S38" s="13">
        <v>0</v>
      </c>
      <c r="T38" s="13">
        <v>11.903776000000001</v>
      </c>
      <c r="U38" s="13">
        <v>0.104752</v>
      </c>
      <c r="V38" s="45">
        <v>0</v>
      </c>
      <c r="W38" s="25">
        <f t="shared" si="4"/>
        <v>2.0000000002795559E-6</v>
      </c>
    </row>
    <row r="39" spans="1:349" x14ac:dyDescent="0.25">
      <c r="A39" s="1">
        <v>9849</v>
      </c>
      <c r="B39" s="1" t="s">
        <v>59</v>
      </c>
      <c r="C39" s="1" t="s">
        <v>41</v>
      </c>
      <c r="D39" s="4">
        <v>40.640039999999999</v>
      </c>
      <c r="E39" s="79" t="s">
        <v>39</v>
      </c>
      <c r="F39" s="74">
        <v>33.284607000000001</v>
      </c>
      <c r="G39" s="79" t="s">
        <v>129</v>
      </c>
      <c r="H39" s="74">
        <v>4.6192659999999997</v>
      </c>
      <c r="I39" s="77" t="s">
        <v>34</v>
      </c>
      <c r="J39" s="109">
        <v>5.5819000000000001E-2</v>
      </c>
      <c r="K39" s="157">
        <v>0</v>
      </c>
      <c r="L39" s="54">
        <v>20.033548</v>
      </c>
      <c r="M39" s="114"/>
      <c r="N39" s="66"/>
      <c r="O39" s="127">
        <v>2.6803560000000002</v>
      </c>
      <c r="P39" s="147">
        <f t="shared" si="3"/>
        <v>37.959683999999996</v>
      </c>
      <c r="Q39" s="16">
        <v>2.6803560000000002</v>
      </c>
      <c r="R39" s="8">
        <v>0</v>
      </c>
      <c r="S39" s="13">
        <v>25.990082999999998</v>
      </c>
      <c r="T39" s="13">
        <v>12.358015999999999</v>
      </c>
      <c r="U39" s="13">
        <v>0</v>
      </c>
      <c r="V39" s="45">
        <v>2.291944</v>
      </c>
      <c r="W39" s="25">
        <f t="shared" si="4"/>
        <v>-2.9999999995311555E-6</v>
      </c>
    </row>
    <row r="40" spans="1:349" x14ac:dyDescent="0.25">
      <c r="A40" s="1">
        <v>9850</v>
      </c>
      <c r="B40" s="1" t="s">
        <v>59</v>
      </c>
      <c r="C40" s="1" t="s">
        <v>41</v>
      </c>
      <c r="D40" s="4">
        <v>25.596229999999998</v>
      </c>
      <c r="E40" s="79" t="s">
        <v>39</v>
      </c>
      <c r="F40" s="74">
        <v>23.044955999999999</v>
      </c>
      <c r="G40" s="78" t="s">
        <v>130</v>
      </c>
      <c r="H40" s="77">
        <v>2.5512709999999998</v>
      </c>
      <c r="I40" s="77"/>
      <c r="J40" s="109"/>
      <c r="K40" s="157">
        <f>0.397002+2.549469</f>
        <v>2.9464710000000003</v>
      </c>
      <c r="L40" s="54">
        <v>0</v>
      </c>
      <c r="M40" s="114"/>
      <c r="N40" s="66"/>
      <c r="O40" s="127"/>
      <c r="P40" s="147">
        <f t="shared" si="3"/>
        <v>25.596229999999998</v>
      </c>
      <c r="Q40" s="16">
        <v>0</v>
      </c>
      <c r="R40" s="8">
        <v>0.413323</v>
      </c>
      <c r="S40" s="13">
        <v>9.9819809999999993</v>
      </c>
      <c r="T40" s="13">
        <v>2.1838489999999999</v>
      </c>
      <c r="U40" s="13">
        <v>0.39816800000000002</v>
      </c>
      <c r="V40" s="45">
        <v>7.9999999999999996E-6</v>
      </c>
      <c r="W40" s="25">
        <f t="shared" si="4"/>
        <v>13.032223999999999</v>
      </c>
    </row>
    <row r="41" spans="1:349" x14ac:dyDescent="0.25">
      <c r="A41" s="1">
        <v>9851</v>
      </c>
      <c r="B41" s="1" t="s">
        <v>59</v>
      </c>
      <c r="C41" s="1" t="s">
        <v>41</v>
      </c>
      <c r="D41" s="4">
        <v>41.016500000000001</v>
      </c>
      <c r="E41" s="79" t="s">
        <v>37</v>
      </c>
      <c r="F41" s="74">
        <v>41.016494999999999</v>
      </c>
      <c r="G41" s="75"/>
      <c r="H41" s="76"/>
      <c r="I41" s="77"/>
      <c r="J41" s="109"/>
      <c r="K41" s="157">
        <f>7.62096+1.997485+4.060626+3.079404+3.079404</f>
        <v>19.837879000000001</v>
      </c>
      <c r="L41" s="54">
        <f>5.069027+0.413663</f>
        <v>5.4826899999999998</v>
      </c>
      <c r="M41" s="114"/>
      <c r="N41" s="66"/>
      <c r="O41" s="127"/>
      <c r="P41" s="147">
        <f t="shared" si="3"/>
        <v>41.016500000000001</v>
      </c>
      <c r="Q41" s="16">
        <v>0</v>
      </c>
      <c r="R41" s="8">
        <v>0</v>
      </c>
      <c r="S41" s="13">
        <v>12.757277</v>
      </c>
      <c r="T41" s="13">
        <v>3.1317889999999999</v>
      </c>
      <c r="U41" s="13">
        <v>0</v>
      </c>
      <c r="V41" s="45">
        <v>0</v>
      </c>
      <c r="W41" s="25">
        <f t="shared" si="4"/>
        <v>25.127434000000001</v>
      </c>
    </row>
    <row r="42" spans="1:349" x14ac:dyDescent="0.25">
      <c r="A42" s="1">
        <v>9859</v>
      </c>
      <c r="B42" s="1" t="s">
        <v>59</v>
      </c>
      <c r="C42" s="1" t="s">
        <v>41</v>
      </c>
      <c r="D42" s="4">
        <v>13.98132</v>
      </c>
      <c r="E42" s="75" t="s">
        <v>34</v>
      </c>
      <c r="F42" s="76">
        <v>13.981322</v>
      </c>
      <c r="G42" s="78"/>
      <c r="H42" s="77"/>
      <c r="I42" s="77"/>
      <c r="J42" s="109"/>
      <c r="K42" s="157">
        <v>3.9147280000000002</v>
      </c>
      <c r="L42" s="54">
        <v>0</v>
      </c>
      <c r="M42" s="114"/>
      <c r="N42" s="66"/>
      <c r="O42" s="127"/>
      <c r="P42" s="147">
        <f t="shared" si="3"/>
        <v>13.98132</v>
      </c>
      <c r="Q42" s="16">
        <v>0</v>
      </c>
      <c r="R42" s="8">
        <v>0</v>
      </c>
      <c r="S42" s="13">
        <v>13.618905</v>
      </c>
      <c r="T42" s="13">
        <v>0</v>
      </c>
      <c r="U42" s="13">
        <v>0</v>
      </c>
      <c r="V42" s="45">
        <v>0</v>
      </c>
      <c r="W42" s="25">
        <f t="shared" si="4"/>
        <v>0.36241500000000038</v>
      </c>
    </row>
    <row r="43" spans="1:349" s="44" customFormat="1" x14ac:dyDescent="0.25">
      <c r="A43" s="59" t="s">
        <v>52</v>
      </c>
      <c r="B43" s="59" t="s">
        <v>59</v>
      </c>
      <c r="C43" s="59"/>
      <c r="D43" s="83">
        <f>SUM(D27:D42)</f>
        <v>473.18207999999998</v>
      </c>
      <c r="E43" s="83"/>
      <c r="F43" s="83">
        <f>SUM(F27:F42)</f>
        <v>409.61651599999999</v>
      </c>
      <c r="G43" s="83"/>
      <c r="H43" s="83">
        <f>SUM(H27:H42)</f>
        <v>32.955627999999997</v>
      </c>
      <c r="I43" s="83"/>
      <c r="J43" s="83">
        <f>SUM(J27:J42)</f>
        <v>5.5819000000000001E-2</v>
      </c>
      <c r="K43" s="83">
        <f>SUM(K27:K42)</f>
        <v>49.893125999999995</v>
      </c>
      <c r="L43" s="83">
        <f>SUM(L27:L42)</f>
        <v>31.049661999999998</v>
      </c>
      <c r="M43" s="83"/>
      <c r="N43" s="83">
        <f t="shared" ref="N43:W43" si="5">SUM(N27:N42)</f>
        <v>26.727753</v>
      </c>
      <c r="O43" s="83">
        <f t="shared" si="5"/>
        <v>3.8633390000000003</v>
      </c>
      <c r="P43" s="57">
        <f t="shared" si="5"/>
        <v>418.90940499999994</v>
      </c>
      <c r="Q43" s="98">
        <f t="shared" si="5"/>
        <v>54.272675000000007</v>
      </c>
      <c r="R43" s="83">
        <f t="shared" si="5"/>
        <v>79.355667999999994</v>
      </c>
      <c r="S43" s="83">
        <f t="shared" si="5"/>
        <v>194.20263299999999</v>
      </c>
      <c r="T43" s="83">
        <f t="shared" si="5"/>
        <v>136.08525900000001</v>
      </c>
      <c r="U43" s="83">
        <f t="shared" si="5"/>
        <v>35.040747999999994</v>
      </c>
      <c r="V43" s="83">
        <f t="shared" si="5"/>
        <v>6.9065460000000005</v>
      </c>
      <c r="W43" s="83">
        <f t="shared" si="5"/>
        <v>100.94689400000001</v>
      </c>
      <c r="X43" s="83"/>
    </row>
    <row r="44" spans="1:349" s="44" customFormat="1" ht="30" x14ac:dyDescent="0.25">
      <c r="A44" s="184"/>
      <c r="B44" s="184"/>
      <c r="C44" s="184"/>
      <c r="D44" s="185"/>
      <c r="E44" s="186"/>
      <c r="F44" s="187"/>
      <c r="G44" s="188"/>
      <c r="H44" s="33"/>
      <c r="I44" s="33"/>
      <c r="J44" s="189"/>
      <c r="K44" s="190"/>
      <c r="L44" s="33"/>
      <c r="M44" s="191"/>
      <c r="N44" s="192"/>
      <c r="O44" s="192"/>
      <c r="P44" s="25"/>
      <c r="Q44" s="193"/>
      <c r="R44" s="194"/>
      <c r="S44" s="495" t="s">
        <v>8</v>
      </c>
      <c r="T44" s="496"/>
      <c r="U44" s="496"/>
      <c r="V44" s="199" t="s">
        <v>9</v>
      </c>
      <c r="W44" s="200"/>
      <c r="X44" s="61" t="s">
        <v>124</v>
      </c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</row>
    <row r="45" spans="1:349" s="44" customFormat="1" ht="30" x14ac:dyDescent="0.25">
      <c r="A45" s="184"/>
      <c r="B45" s="184"/>
      <c r="C45" s="184"/>
      <c r="D45" s="185"/>
      <c r="E45" s="186"/>
      <c r="F45" s="187"/>
      <c r="G45" s="188"/>
      <c r="H45" s="33"/>
      <c r="I45" s="33"/>
      <c r="J45" s="189"/>
      <c r="K45" s="190"/>
      <c r="L45" s="33"/>
      <c r="M45" s="191"/>
      <c r="N45" s="192"/>
      <c r="O45" s="192"/>
      <c r="P45" s="25"/>
      <c r="Q45" s="144"/>
      <c r="R45" s="56"/>
      <c r="S45" s="201" t="s">
        <v>27</v>
      </c>
      <c r="T45" s="201" t="s">
        <v>28</v>
      </c>
      <c r="U45" s="201" t="s">
        <v>29</v>
      </c>
      <c r="V45" s="202" t="s">
        <v>30</v>
      </c>
      <c r="W45" s="201" t="s">
        <v>31</v>
      </c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</row>
    <row r="46" spans="1:349" s="44" customFormat="1" x14ac:dyDescent="0.25">
      <c r="A46" s="42">
        <v>12010</v>
      </c>
      <c r="B46" s="183" t="s">
        <v>131</v>
      </c>
      <c r="C46" s="183" t="s">
        <v>41</v>
      </c>
      <c r="D46" s="84">
        <v>18.170649999999998</v>
      </c>
      <c r="E46" s="75" t="s">
        <v>34</v>
      </c>
      <c r="F46" s="76">
        <v>7.0059935348</v>
      </c>
      <c r="G46" s="78"/>
      <c r="H46" s="77"/>
      <c r="I46" s="77"/>
      <c r="J46" s="109"/>
      <c r="K46" s="126">
        <v>0</v>
      </c>
      <c r="L46" s="55">
        <v>0</v>
      </c>
      <c r="M46" s="110" t="s">
        <v>36</v>
      </c>
      <c r="N46" s="65">
        <v>11.164658471499999</v>
      </c>
      <c r="O46" s="173"/>
      <c r="P46" s="147">
        <f t="shared" ref="P46" si="6">D46-Q46</f>
        <v>7.0059939999999976</v>
      </c>
      <c r="Q46" s="16">
        <v>11.164656000000001</v>
      </c>
      <c r="R46" s="93">
        <v>0</v>
      </c>
      <c r="S46" s="97">
        <f>12.469141+2.059568</f>
        <v>14.528709000000001</v>
      </c>
      <c r="T46" s="90">
        <v>0</v>
      </c>
      <c r="U46" s="90">
        <v>3.6419440000000001</v>
      </c>
      <c r="V46" s="91">
        <v>0</v>
      </c>
      <c r="W46" s="25">
        <f>D46-(S46+T46+U46+V46)</f>
        <v>-3.0000000030838692E-6</v>
      </c>
      <c r="X46" s="195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</row>
    <row r="47" spans="1:349" s="44" customFormat="1" x14ac:dyDescent="0.25">
      <c r="A47" s="59" t="s">
        <v>52</v>
      </c>
      <c r="B47" s="59" t="s">
        <v>131</v>
      </c>
      <c r="C47" s="59"/>
      <c r="D47" s="83">
        <f>SUM(D46)</f>
        <v>18.170649999999998</v>
      </c>
      <c r="E47" s="83"/>
      <c r="F47" s="83">
        <f>SUM(F46)</f>
        <v>7.0059935348</v>
      </c>
      <c r="G47" s="83"/>
      <c r="H47" s="83">
        <f>SUM(H46)</f>
        <v>0</v>
      </c>
      <c r="I47" s="83"/>
      <c r="J47" s="83">
        <f>SUM(J46)</f>
        <v>0</v>
      </c>
      <c r="K47" s="83">
        <f>SUM(K46)</f>
        <v>0</v>
      </c>
      <c r="L47" s="83">
        <f>SUM(L46)</f>
        <v>0</v>
      </c>
      <c r="M47" s="83"/>
      <c r="N47" s="83">
        <f t="shared" ref="N47:W47" si="7">SUM(N46)</f>
        <v>11.164658471499999</v>
      </c>
      <c r="O47" s="83">
        <f>SUM(O46)</f>
        <v>0</v>
      </c>
      <c r="P47" s="57">
        <f t="shared" si="7"/>
        <v>7.0059939999999976</v>
      </c>
      <c r="Q47" s="98">
        <f t="shared" si="7"/>
        <v>11.164656000000001</v>
      </c>
      <c r="R47" s="83">
        <f t="shared" si="7"/>
        <v>0</v>
      </c>
      <c r="S47" s="83">
        <f t="shared" si="7"/>
        <v>14.528709000000001</v>
      </c>
      <c r="T47" s="83">
        <f t="shared" si="7"/>
        <v>0</v>
      </c>
      <c r="U47" s="83">
        <f t="shared" si="7"/>
        <v>3.6419440000000001</v>
      </c>
      <c r="V47" s="83">
        <f t="shared" si="7"/>
        <v>0</v>
      </c>
      <c r="W47" s="83">
        <f t="shared" si="7"/>
        <v>-3.0000000030838692E-6</v>
      </c>
      <c r="X47" s="83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</row>
    <row r="48" spans="1:349" ht="30" x14ac:dyDescent="0.25">
      <c r="A48" s="184"/>
      <c r="B48" s="184"/>
      <c r="C48" s="184"/>
      <c r="D48" s="185"/>
      <c r="E48" s="186"/>
      <c r="F48" s="187"/>
      <c r="G48" s="188"/>
      <c r="H48" s="33"/>
      <c r="I48" s="33"/>
      <c r="J48" s="189"/>
      <c r="K48" s="190"/>
      <c r="L48" s="33"/>
      <c r="M48" s="191"/>
      <c r="N48" s="192"/>
      <c r="O48" s="192"/>
      <c r="P48" s="25"/>
      <c r="Q48" s="193"/>
      <c r="R48" s="194"/>
      <c r="S48" s="485" t="s">
        <v>53</v>
      </c>
      <c r="T48" s="486"/>
      <c r="U48" s="486"/>
      <c r="V48" s="86" t="s">
        <v>127</v>
      </c>
      <c r="W48" s="49"/>
    </row>
    <row r="49" spans="1:24" ht="30" x14ac:dyDescent="0.25">
      <c r="A49" s="184"/>
      <c r="B49" s="184"/>
      <c r="C49" s="184"/>
      <c r="D49" s="207" t="s">
        <v>132</v>
      </c>
      <c r="E49" s="186"/>
      <c r="F49" s="187"/>
      <c r="G49" s="188"/>
      <c r="H49" s="33"/>
      <c r="I49" s="33"/>
      <c r="J49" s="189"/>
      <c r="K49" s="190"/>
      <c r="L49" s="33"/>
      <c r="M49" s="191"/>
      <c r="N49" s="192"/>
      <c r="O49" s="192"/>
      <c r="P49" s="25"/>
      <c r="Q49" s="144"/>
      <c r="R49" s="56"/>
      <c r="S49" s="50" t="s">
        <v>54</v>
      </c>
      <c r="T49" s="50" t="s">
        <v>55</v>
      </c>
      <c r="U49" s="50" t="s">
        <v>56</v>
      </c>
      <c r="V49" s="165" t="s">
        <v>57</v>
      </c>
      <c r="W49" s="50" t="s">
        <v>58</v>
      </c>
      <c r="X49" s="138" t="s">
        <v>128</v>
      </c>
    </row>
    <row r="50" spans="1:24" x14ac:dyDescent="0.25">
      <c r="A50" s="42">
        <v>21649</v>
      </c>
      <c r="B50" s="183" t="s">
        <v>133</v>
      </c>
      <c r="C50" s="42" t="s">
        <v>40</v>
      </c>
      <c r="D50" s="84">
        <v>15.025700000000001</v>
      </c>
      <c r="E50" s="75" t="s">
        <v>134</v>
      </c>
      <c r="F50" s="76">
        <v>14.45452</v>
      </c>
      <c r="G50" s="79"/>
      <c r="H50" s="74"/>
      <c r="I50" s="74"/>
      <c r="J50" s="105"/>
      <c r="K50" s="126">
        <v>1.2225220000000001</v>
      </c>
      <c r="L50" s="54">
        <v>0</v>
      </c>
      <c r="M50" s="115"/>
      <c r="N50" s="67"/>
      <c r="O50" s="173">
        <v>0.56669999999999998</v>
      </c>
      <c r="P50" s="147">
        <f>D50-Q50</f>
        <v>14.458986000000001</v>
      </c>
      <c r="Q50" s="146">
        <v>0.56671400000000005</v>
      </c>
      <c r="R50" s="8"/>
      <c r="S50" s="97">
        <v>14.990410000000001</v>
      </c>
      <c r="T50" s="90">
        <v>3.1870000000000002E-2</v>
      </c>
      <c r="U50" s="90">
        <v>3.4259999999999998E-3</v>
      </c>
      <c r="V50" s="91">
        <v>0</v>
      </c>
      <c r="W50" s="25">
        <f t="shared" ref="W50:W85" si="8">D50-(S50+T50+U50+V50)</f>
        <v>-5.999999999062311E-6</v>
      </c>
    </row>
    <row r="51" spans="1:24" x14ac:dyDescent="0.25">
      <c r="A51" s="42">
        <v>21650</v>
      </c>
      <c r="B51" s="42" t="s">
        <v>133</v>
      </c>
      <c r="C51" s="42" t="s">
        <v>40</v>
      </c>
      <c r="D51" s="84">
        <v>8.3771909999999998</v>
      </c>
      <c r="E51" s="75" t="s">
        <v>134</v>
      </c>
      <c r="F51" s="76">
        <v>5.715789</v>
      </c>
      <c r="G51" s="79"/>
      <c r="H51" s="74"/>
      <c r="I51" s="74"/>
      <c r="J51" s="105"/>
      <c r="K51" s="126">
        <v>0</v>
      </c>
      <c r="L51" s="54">
        <v>0</v>
      </c>
      <c r="M51" s="115"/>
      <c r="N51" s="67"/>
      <c r="O51" s="173">
        <v>2.6520999999999999</v>
      </c>
      <c r="P51" s="147">
        <f t="shared" ref="P51:P85" si="9">D51-Q51</f>
        <v>5.7251110000000001</v>
      </c>
      <c r="Q51" s="16">
        <v>2.6520800000000002</v>
      </c>
      <c r="R51" s="8"/>
      <c r="S51" s="13">
        <v>3.4606439999999998</v>
      </c>
      <c r="T51" s="90">
        <v>0</v>
      </c>
      <c r="U51" s="90">
        <v>4.9165469999999996</v>
      </c>
      <c r="V51" s="91">
        <v>0</v>
      </c>
      <c r="W51" s="25">
        <f t="shared" si="8"/>
        <v>0</v>
      </c>
    </row>
    <row r="52" spans="1:24" x14ac:dyDescent="0.25">
      <c r="A52" s="42">
        <v>21651</v>
      </c>
      <c r="B52" s="42" t="s">
        <v>133</v>
      </c>
      <c r="C52" s="42" t="s">
        <v>40</v>
      </c>
      <c r="D52" s="84">
        <v>6.3799580000000002</v>
      </c>
      <c r="E52" s="75"/>
      <c r="F52" s="76"/>
      <c r="G52" s="78"/>
      <c r="H52" s="77"/>
      <c r="I52" s="77"/>
      <c r="J52" s="109"/>
      <c r="K52" s="126">
        <v>0</v>
      </c>
      <c r="L52" s="55">
        <v>0</v>
      </c>
      <c r="M52" s="110"/>
      <c r="N52" s="65"/>
      <c r="O52" s="173">
        <f>5.0198+1.36014</f>
        <v>6.3799399999999995</v>
      </c>
      <c r="P52" s="147">
        <f t="shared" si="9"/>
        <v>0</v>
      </c>
      <c r="Q52" s="16">
        <v>6.3799580000000002</v>
      </c>
      <c r="R52" s="8"/>
      <c r="S52" s="97">
        <v>4.7624420000000001</v>
      </c>
      <c r="T52" s="90">
        <v>0</v>
      </c>
      <c r="U52" s="90">
        <v>0</v>
      </c>
      <c r="V52" s="91">
        <v>0</v>
      </c>
      <c r="W52" s="25">
        <f t="shared" si="8"/>
        <v>1.6175160000000002</v>
      </c>
    </row>
    <row r="53" spans="1:24" x14ac:dyDescent="0.25">
      <c r="A53" s="42">
        <v>21652</v>
      </c>
      <c r="B53" s="42" t="s">
        <v>133</v>
      </c>
      <c r="C53" s="42" t="s">
        <v>40</v>
      </c>
      <c r="D53" s="84">
        <v>8.0535060000000005</v>
      </c>
      <c r="G53" s="78"/>
      <c r="H53" s="77"/>
      <c r="I53" s="77"/>
      <c r="J53" s="109"/>
      <c r="K53" s="126">
        <v>0</v>
      </c>
      <c r="L53" s="55">
        <v>0</v>
      </c>
      <c r="M53" s="115"/>
      <c r="N53" s="67"/>
      <c r="O53" s="173">
        <f>6.2756+1.768749</f>
        <v>8.0443490000000004</v>
      </c>
      <c r="P53" s="147">
        <f t="shared" si="9"/>
        <v>9.2040000000004341E-3</v>
      </c>
      <c r="Q53" s="146">
        <v>8.0443020000000001</v>
      </c>
      <c r="R53" s="8"/>
      <c r="S53" s="97">
        <v>0</v>
      </c>
      <c r="T53" s="90">
        <v>2.6343529999999999</v>
      </c>
      <c r="U53" s="90">
        <v>0</v>
      </c>
      <c r="V53" s="91">
        <v>0</v>
      </c>
      <c r="W53" s="25">
        <f t="shared" si="8"/>
        <v>5.4191530000000006</v>
      </c>
    </row>
    <row r="54" spans="1:24" x14ac:dyDescent="0.25">
      <c r="A54" s="42">
        <v>21684</v>
      </c>
      <c r="B54" s="42" t="s">
        <v>133</v>
      </c>
      <c r="C54" s="42" t="s">
        <v>40</v>
      </c>
      <c r="D54" s="84">
        <v>7.5590989999999998</v>
      </c>
      <c r="E54" s="75" t="s">
        <v>34</v>
      </c>
      <c r="F54" s="76">
        <v>7.5590989999999998</v>
      </c>
      <c r="G54" s="78"/>
      <c r="H54" s="77"/>
      <c r="I54" s="77"/>
      <c r="J54" s="109"/>
      <c r="K54" s="126">
        <f>6.18443+1.160151</f>
        <v>7.3445809999999998</v>
      </c>
      <c r="L54" s="55">
        <v>0</v>
      </c>
      <c r="M54" s="110"/>
      <c r="N54" s="65"/>
      <c r="O54" s="173"/>
      <c r="P54" s="147">
        <f t="shared" si="9"/>
        <v>7.5590989999999998</v>
      </c>
      <c r="Q54" s="16">
        <v>0</v>
      </c>
      <c r="R54" s="93"/>
      <c r="S54" s="97">
        <v>0</v>
      </c>
      <c r="T54" s="90">
        <v>0</v>
      </c>
      <c r="U54" s="90">
        <v>0</v>
      </c>
      <c r="V54" s="91">
        <v>0</v>
      </c>
      <c r="W54" s="25">
        <f t="shared" si="8"/>
        <v>7.5590989999999998</v>
      </c>
    </row>
    <row r="55" spans="1:24" x14ac:dyDescent="0.25">
      <c r="A55" s="42">
        <v>21685</v>
      </c>
      <c r="B55" s="42" t="s">
        <v>133</v>
      </c>
      <c r="C55" s="42" t="s">
        <v>40</v>
      </c>
      <c r="D55" s="84">
        <v>6.1212039999999996</v>
      </c>
      <c r="E55" s="82" t="s">
        <v>34</v>
      </c>
      <c r="F55" s="74">
        <v>6.1212039999999996</v>
      </c>
      <c r="G55" s="78"/>
      <c r="H55" s="77"/>
      <c r="I55" s="77"/>
      <c r="J55" s="109"/>
      <c r="K55" s="126">
        <v>6.1212039999999996</v>
      </c>
      <c r="L55" s="55">
        <v>0</v>
      </c>
      <c r="M55" s="110"/>
      <c r="N55" s="65"/>
      <c r="O55" s="173"/>
      <c r="P55" s="147">
        <f t="shared" si="9"/>
        <v>6.1212039999999996</v>
      </c>
      <c r="Q55" s="146">
        <v>0</v>
      </c>
      <c r="R55" s="93"/>
      <c r="S55" s="97">
        <v>0</v>
      </c>
      <c r="T55" s="90">
        <v>0</v>
      </c>
      <c r="U55" s="90">
        <v>0</v>
      </c>
      <c r="V55" s="91">
        <v>0</v>
      </c>
      <c r="W55" s="25">
        <f t="shared" si="8"/>
        <v>6.1212039999999996</v>
      </c>
    </row>
    <row r="56" spans="1:24" x14ac:dyDescent="0.25">
      <c r="A56" s="42">
        <v>21686</v>
      </c>
      <c r="B56" s="42" t="s">
        <v>133</v>
      </c>
      <c r="C56" s="42" t="s">
        <v>40</v>
      </c>
      <c r="D56" s="84">
        <v>25.795300000000001</v>
      </c>
      <c r="E56" s="82" t="s">
        <v>34</v>
      </c>
      <c r="F56" s="74">
        <v>25.795300000000001</v>
      </c>
      <c r="G56" s="78"/>
      <c r="H56" s="77"/>
      <c r="I56" s="77"/>
      <c r="J56" s="109"/>
      <c r="K56" s="157">
        <v>0</v>
      </c>
      <c r="L56" s="55">
        <v>0</v>
      </c>
      <c r="M56" s="115"/>
      <c r="N56" s="67"/>
      <c r="O56" s="173"/>
      <c r="P56" s="147">
        <f t="shared" si="9"/>
        <v>5.97166</v>
      </c>
      <c r="Q56" s="16">
        <v>19.823640000000001</v>
      </c>
      <c r="R56" s="8"/>
      <c r="S56" s="13">
        <v>6.3126790000000002</v>
      </c>
      <c r="T56" s="90">
        <v>13.04921</v>
      </c>
      <c r="U56" s="90">
        <v>5.1409789999999997</v>
      </c>
      <c r="V56" s="91">
        <v>0</v>
      </c>
      <c r="W56" s="25">
        <f t="shared" si="8"/>
        <v>1.2924320000000016</v>
      </c>
    </row>
    <row r="57" spans="1:24" x14ac:dyDescent="0.25">
      <c r="A57" s="42">
        <v>21687</v>
      </c>
      <c r="B57" s="42" t="s">
        <v>133</v>
      </c>
      <c r="C57" s="42" t="s">
        <v>40</v>
      </c>
      <c r="D57" s="84">
        <v>5.1789430000000003</v>
      </c>
      <c r="E57" s="75" t="s">
        <v>34</v>
      </c>
      <c r="F57" s="76">
        <v>5.1789430000000003</v>
      </c>
      <c r="G57" s="78"/>
      <c r="H57" s="77"/>
      <c r="I57" s="77"/>
      <c r="J57" s="109"/>
      <c r="K57" s="157">
        <v>0</v>
      </c>
      <c r="L57" s="55">
        <v>4.9011709999999997</v>
      </c>
      <c r="M57" s="115"/>
      <c r="N57" s="67"/>
      <c r="O57" s="173"/>
      <c r="P57" s="147">
        <f t="shared" si="9"/>
        <v>5.1789430000000003</v>
      </c>
      <c r="Q57" s="16">
        <v>0</v>
      </c>
      <c r="R57" s="8"/>
      <c r="S57" s="97">
        <v>4.689629</v>
      </c>
      <c r="T57" s="90">
        <v>0.48931400000000003</v>
      </c>
      <c r="U57" s="90">
        <v>0</v>
      </c>
      <c r="V57" s="91">
        <v>0</v>
      </c>
      <c r="W57" s="25">
        <f t="shared" si="8"/>
        <v>0</v>
      </c>
    </row>
    <row r="58" spans="1:24" x14ac:dyDescent="0.25">
      <c r="A58" s="42">
        <v>21688</v>
      </c>
      <c r="B58" s="42" t="s">
        <v>133</v>
      </c>
      <c r="C58" s="42" t="s">
        <v>40</v>
      </c>
      <c r="D58" s="84">
        <v>13.07686</v>
      </c>
      <c r="E58" s="75" t="s">
        <v>34</v>
      </c>
      <c r="F58" s="76">
        <v>13.07686</v>
      </c>
      <c r="G58" s="78"/>
      <c r="H58" s="77"/>
      <c r="I58" s="77"/>
      <c r="J58" s="109"/>
      <c r="K58" s="126">
        <v>7.7758070000000004</v>
      </c>
      <c r="L58" s="55">
        <v>8.8588710000000006</v>
      </c>
      <c r="M58" s="115"/>
      <c r="N58" s="67"/>
      <c r="O58" s="173"/>
      <c r="P58" s="147">
        <f t="shared" si="9"/>
        <v>5.4446579999999996</v>
      </c>
      <c r="Q58" s="16">
        <v>7.6322020000000004</v>
      </c>
      <c r="R58" s="8">
        <v>0.638934</v>
      </c>
      <c r="S58" s="13">
        <v>6.0650079999999997</v>
      </c>
      <c r="T58" s="90">
        <v>0.124598</v>
      </c>
      <c r="U58" s="90">
        <v>0</v>
      </c>
      <c r="V58" s="91">
        <v>0</v>
      </c>
      <c r="W58" s="25">
        <f t="shared" si="8"/>
        <v>6.8872540000000004</v>
      </c>
    </row>
    <row r="59" spans="1:24" x14ac:dyDescent="0.25">
      <c r="A59" s="42">
        <v>21690</v>
      </c>
      <c r="B59" s="42" t="s">
        <v>133</v>
      </c>
      <c r="C59" s="42" t="s">
        <v>40</v>
      </c>
      <c r="D59" s="84">
        <v>7.3406849999999997</v>
      </c>
      <c r="E59" s="75" t="s">
        <v>34</v>
      </c>
      <c r="F59" s="76">
        <v>7.3406849999999997</v>
      </c>
      <c r="G59" s="78"/>
      <c r="H59" s="77"/>
      <c r="I59" s="77"/>
      <c r="J59" s="109"/>
      <c r="K59" s="157">
        <v>0</v>
      </c>
      <c r="L59" s="55">
        <v>0</v>
      </c>
      <c r="M59" s="115"/>
      <c r="N59" s="67"/>
      <c r="O59" s="173"/>
      <c r="P59" s="147">
        <f t="shared" si="9"/>
        <v>7.3406849999999997</v>
      </c>
      <c r="Q59" s="16">
        <v>0</v>
      </c>
      <c r="R59" s="8"/>
      <c r="S59" s="97">
        <v>3.8659300000000001</v>
      </c>
      <c r="T59" s="90">
        <v>3.474755</v>
      </c>
      <c r="U59" s="90">
        <v>0</v>
      </c>
      <c r="V59" s="91">
        <v>0</v>
      </c>
      <c r="W59" s="25">
        <f t="shared" si="8"/>
        <v>0</v>
      </c>
    </row>
    <row r="60" spans="1:24" x14ac:dyDescent="0.25">
      <c r="A60" s="42">
        <v>21691</v>
      </c>
      <c r="B60" s="42" t="s">
        <v>133</v>
      </c>
      <c r="C60" s="42" t="s">
        <v>40</v>
      </c>
      <c r="D60" s="84">
        <v>6.082198</v>
      </c>
      <c r="E60" s="75" t="s">
        <v>34</v>
      </c>
      <c r="F60" s="76">
        <v>6.082198</v>
      </c>
      <c r="G60" s="78"/>
      <c r="H60" s="77"/>
      <c r="I60" s="77"/>
      <c r="J60" s="109"/>
      <c r="K60" s="126">
        <v>0.47178700000000001</v>
      </c>
      <c r="L60" s="55">
        <v>0</v>
      </c>
      <c r="M60" s="115"/>
      <c r="N60" s="67"/>
      <c r="O60" s="173"/>
      <c r="P60" s="147">
        <f t="shared" si="9"/>
        <v>3.840916</v>
      </c>
      <c r="Q60" s="16">
        <v>2.241282</v>
      </c>
      <c r="R60" s="8"/>
      <c r="S60" s="13">
        <v>3.0968650000000002</v>
      </c>
      <c r="T60" s="90">
        <v>0.57065500000000002</v>
      </c>
      <c r="U60" s="90">
        <v>1.935376</v>
      </c>
      <c r="V60" s="91">
        <v>0</v>
      </c>
      <c r="W60" s="25">
        <f t="shared" si="8"/>
        <v>0.47930199999999967</v>
      </c>
    </row>
    <row r="61" spans="1:24" x14ac:dyDescent="0.25">
      <c r="A61" s="42">
        <v>21692</v>
      </c>
      <c r="B61" s="42" t="s">
        <v>133</v>
      </c>
      <c r="C61" s="42" t="s">
        <v>40</v>
      </c>
      <c r="D61" s="84">
        <v>20.017209999999999</v>
      </c>
      <c r="E61" s="75" t="s">
        <v>34</v>
      </c>
      <c r="F61" s="76">
        <v>20.017209999999999</v>
      </c>
      <c r="G61" s="78"/>
      <c r="H61" s="77"/>
      <c r="I61" s="77"/>
      <c r="J61" s="109"/>
      <c r="K61" s="126">
        <f>4.964916+1.188392</f>
        <v>6.1533079999999991</v>
      </c>
      <c r="L61" s="55">
        <v>0</v>
      </c>
      <c r="M61" s="115"/>
      <c r="N61" s="67"/>
      <c r="O61" s="173"/>
      <c r="P61" s="147">
        <f t="shared" si="9"/>
        <v>20.017209999999999</v>
      </c>
      <c r="Q61" s="16">
        <v>0</v>
      </c>
      <c r="R61" s="8"/>
      <c r="S61" s="97">
        <v>0</v>
      </c>
      <c r="T61" s="90">
        <v>0</v>
      </c>
      <c r="U61" s="90">
        <v>0</v>
      </c>
      <c r="V61" s="91">
        <v>4.5118119999999999</v>
      </c>
      <c r="W61" s="25">
        <f t="shared" si="8"/>
        <v>15.505398</v>
      </c>
    </row>
    <row r="62" spans="1:24" x14ac:dyDescent="0.25">
      <c r="A62" s="42">
        <v>21693</v>
      </c>
      <c r="B62" s="42" t="s">
        <v>133</v>
      </c>
      <c r="C62" s="42" t="s">
        <v>40</v>
      </c>
      <c r="D62" s="84">
        <v>8.2025729999999992</v>
      </c>
      <c r="E62" s="75" t="s">
        <v>34</v>
      </c>
      <c r="F62" s="76">
        <v>8.2025729999999992</v>
      </c>
      <c r="G62" s="78"/>
      <c r="H62" s="77"/>
      <c r="I62" s="77"/>
      <c r="J62" s="109"/>
      <c r="K62" s="126">
        <v>0.33160600000000001</v>
      </c>
      <c r="L62" s="55">
        <v>0.13342499999999999</v>
      </c>
      <c r="M62" s="115"/>
      <c r="N62" s="67"/>
      <c r="O62" s="173"/>
      <c r="P62" s="147">
        <f t="shared" si="9"/>
        <v>8.2025729999999992</v>
      </c>
      <c r="Q62" s="16">
        <v>0</v>
      </c>
      <c r="R62" s="8"/>
      <c r="S62" s="13">
        <v>5.1852619999999998</v>
      </c>
      <c r="T62" s="90">
        <v>2.6823969999999999</v>
      </c>
      <c r="U62" s="90">
        <v>3.2629999999999998E-3</v>
      </c>
      <c r="V62" s="91">
        <v>0</v>
      </c>
      <c r="W62" s="25">
        <f t="shared" ref="W62:W70" si="10">D62-(S62+T62+U62+V62)</f>
        <v>0.33165099999999992</v>
      </c>
    </row>
    <row r="63" spans="1:24" x14ac:dyDescent="0.25">
      <c r="A63" s="42">
        <v>21694</v>
      </c>
      <c r="B63" s="42" t="s">
        <v>133</v>
      </c>
      <c r="C63" s="42" t="s">
        <v>40</v>
      </c>
      <c r="D63" s="84">
        <v>21.51876</v>
      </c>
      <c r="E63" s="75" t="s">
        <v>34</v>
      </c>
      <c r="F63" s="76">
        <v>21.51876</v>
      </c>
      <c r="G63" s="78"/>
      <c r="H63" s="77"/>
      <c r="I63" s="77"/>
      <c r="J63" s="109"/>
      <c r="K63" s="126">
        <v>0.23826</v>
      </c>
      <c r="L63" s="55">
        <v>0</v>
      </c>
      <c r="M63" s="115"/>
      <c r="N63" s="67"/>
      <c r="O63" s="173"/>
      <c r="P63" s="147">
        <f t="shared" si="9"/>
        <v>13.921314000000001</v>
      </c>
      <c r="Q63" s="16">
        <v>7.5974459999999997</v>
      </c>
      <c r="R63" s="8"/>
      <c r="S63" s="13">
        <v>10.20059</v>
      </c>
      <c r="T63" s="90">
        <v>2.3430140000000002</v>
      </c>
      <c r="U63" s="90">
        <v>6.5475580000000004</v>
      </c>
      <c r="V63" s="91">
        <v>0</v>
      </c>
      <c r="W63" s="25">
        <f t="shared" si="10"/>
        <v>2.4275979999999997</v>
      </c>
    </row>
    <row r="64" spans="1:24" x14ac:dyDescent="0.25">
      <c r="A64" s="42">
        <v>21695</v>
      </c>
      <c r="B64" s="42" t="s">
        <v>133</v>
      </c>
      <c r="C64" s="42" t="s">
        <v>40</v>
      </c>
      <c r="D64" s="84">
        <v>13.01484</v>
      </c>
      <c r="E64" s="75" t="s">
        <v>34</v>
      </c>
      <c r="F64" s="76">
        <v>13.01484</v>
      </c>
      <c r="G64" s="78"/>
      <c r="H64" s="77"/>
      <c r="I64" s="77"/>
      <c r="J64" s="109"/>
      <c r="K64" s="157">
        <v>0</v>
      </c>
      <c r="L64" s="55">
        <v>0</v>
      </c>
      <c r="M64" s="110"/>
      <c r="N64" s="65"/>
      <c r="O64" s="173"/>
      <c r="P64" s="147">
        <f t="shared" si="9"/>
        <v>12.812764999999999</v>
      </c>
      <c r="Q64" s="16">
        <v>0.202075</v>
      </c>
      <c r="R64" s="93"/>
      <c r="S64" s="97">
        <v>6.2049859999999999</v>
      </c>
      <c r="T64" s="90">
        <v>0</v>
      </c>
      <c r="U64" s="90">
        <v>6.8098580000000002</v>
      </c>
      <c r="V64" s="91">
        <v>0</v>
      </c>
      <c r="W64" s="25">
        <f t="shared" si="10"/>
        <v>-4.0000000005591119E-6</v>
      </c>
    </row>
    <row r="65" spans="1:23" x14ac:dyDescent="0.25">
      <c r="A65" s="42">
        <v>21696</v>
      </c>
      <c r="B65" s="42" t="s">
        <v>133</v>
      </c>
      <c r="C65" s="42" t="s">
        <v>40</v>
      </c>
      <c r="D65" s="84">
        <v>73.261240000000001</v>
      </c>
      <c r="E65" s="79" t="s">
        <v>34</v>
      </c>
      <c r="F65" s="74">
        <v>70.933130000000006</v>
      </c>
      <c r="G65" s="79"/>
      <c r="H65" s="74"/>
      <c r="I65" s="74"/>
      <c r="J65" s="105"/>
      <c r="K65" s="157">
        <v>0</v>
      </c>
      <c r="L65" s="54">
        <v>0</v>
      </c>
      <c r="M65" s="115"/>
      <c r="N65" s="67"/>
      <c r="O65" s="173">
        <f>0.3358+1.992289</f>
        <v>2.3280889999999999</v>
      </c>
      <c r="P65" s="147">
        <f t="shared" si="9"/>
        <v>0.10572999999999411</v>
      </c>
      <c r="Q65" s="16">
        <v>73.155510000000007</v>
      </c>
      <c r="R65" s="8">
        <v>5.5688240000000002</v>
      </c>
      <c r="S65" s="97">
        <v>34.06626</v>
      </c>
      <c r="T65" s="90">
        <v>9.2406159999999993</v>
      </c>
      <c r="U65" s="90">
        <v>0</v>
      </c>
      <c r="V65" s="91">
        <v>0</v>
      </c>
      <c r="W65" s="25">
        <f t="shared" si="10"/>
        <v>29.954363999999998</v>
      </c>
    </row>
    <row r="66" spans="1:23" x14ac:dyDescent="0.25">
      <c r="A66" s="42">
        <v>21697</v>
      </c>
      <c r="B66" s="42" t="s">
        <v>133</v>
      </c>
      <c r="C66" s="42" t="s">
        <v>40</v>
      </c>
      <c r="D66" s="84">
        <v>8.5340009999999999</v>
      </c>
      <c r="E66" s="75" t="s">
        <v>34</v>
      </c>
      <c r="F66" s="76">
        <v>8.5340009999999999</v>
      </c>
      <c r="G66" s="78"/>
      <c r="H66" s="77"/>
      <c r="I66" s="77"/>
      <c r="J66" s="109"/>
      <c r="K66" s="126">
        <v>0</v>
      </c>
      <c r="L66" s="55">
        <v>2.1451720000000001</v>
      </c>
      <c r="M66" s="115"/>
      <c r="N66" s="67"/>
      <c r="O66" s="173"/>
      <c r="P66" s="147">
        <f t="shared" si="9"/>
        <v>0.81897199999999959</v>
      </c>
      <c r="Q66" s="146">
        <v>7.7150290000000004</v>
      </c>
      <c r="R66" s="8">
        <v>0.40214899999999998</v>
      </c>
      <c r="S66" s="13">
        <v>6.5212000000000003</v>
      </c>
      <c r="T66" s="90">
        <v>0.44816</v>
      </c>
      <c r="U66" s="90">
        <v>1.5646409999999999</v>
      </c>
      <c r="V66" s="91">
        <v>0</v>
      </c>
      <c r="W66" s="25">
        <f t="shared" si="10"/>
        <v>0</v>
      </c>
    </row>
    <row r="67" spans="1:23" x14ac:dyDescent="0.25">
      <c r="A67" s="42">
        <v>21698</v>
      </c>
      <c r="B67" s="42" t="s">
        <v>133</v>
      </c>
      <c r="C67" s="42" t="s">
        <v>40</v>
      </c>
      <c r="D67" s="84">
        <v>8.1921800000000005</v>
      </c>
      <c r="E67" s="75" t="s">
        <v>34</v>
      </c>
      <c r="F67" s="76">
        <v>8.1921800000000005</v>
      </c>
      <c r="G67" s="78"/>
      <c r="H67" s="77"/>
      <c r="I67" s="77"/>
      <c r="J67" s="109"/>
      <c r="K67" s="126">
        <v>0.165631</v>
      </c>
      <c r="L67" s="55">
        <v>7.1485900000000004</v>
      </c>
      <c r="M67" s="110"/>
      <c r="N67" s="65"/>
      <c r="O67" s="173"/>
      <c r="P67" s="147">
        <f t="shared" si="9"/>
        <v>8.1921800000000005</v>
      </c>
      <c r="Q67" s="16">
        <v>0</v>
      </c>
      <c r="R67" s="8">
        <v>4.9081380000000001</v>
      </c>
      <c r="S67" s="13">
        <v>0</v>
      </c>
      <c r="T67" s="90">
        <v>4.9640870000000001</v>
      </c>
      <c r="U67" s="90">
        <v>3.0611630000000001</v>
      </c>
      <c r="V67" s="91">
        <v>0</v>
      </c>
      <c r="W67" s="25">
        <f t="shared" si="10"/>
        <v>0.16693000000000069</v>
      </c>
    </row>
    <row r="68" spans="1:23" x14ac:dyDescent="0.25">
      <c r="A68" s="42">
        <v>21699</v>
      </c>
      <c r="B68" s="42" t="s">
        <v>133</v>
      </c>
      <c r="C68" s="42" t="s">
        <v>40</v>
      </c>
      <c r="D68" s="84">
        <v>11.371919999999999</v>
      </c>
      <c r="E68" s="79" t="s">
        <v>34</v>
      </c>
      <c r="F68" s="74">
        <v>11.371919999999999</v>
      </c>
      <c r="G68" s="78"/>
      <c r="H68" s="77"/>
      <c r="I68" s="77"/>
      <c r="J68" s="109"/>
      <c r="K68" s="157">
        <v>0</v>
      </c>
      <c r="L68" s="55">
        <v>0</v>
      </c>
      <c r="M68" s="110"/>
      <c r="N68" s="65"/>
      <c r="O68" s="173"/>
      <c r="P68" s="147">
        <f t="shared" si="9"/>
        <v>0</v>
      </c>
      <c r="Q68" s="16">
        <v>11.371919999999999</v>
      </c>
      <c r="R68" s="93"/>
      <c r="S68" s="97">
        <v>11.332090000000001</v>
      </c>
      <c r="T68" s="90">
        <v>0</v>
      </c>
      <c r="U68" s="90">
        <v>3.9829999999999997E-2</v>
      </c>
      <c r="V68" s="91">
        <v>0</v>
      </c>
      <c r="W68" s="25">
        <f t="shared" si="10"/>
        <v>0</v>
      </c>
    </row>
    <row r="69" spans="1:23" x14ac:dyDescent="0.25">
      <c r="A69" s="42">
        <v>21700</v>
      </c>
      <c r="B69" s="42" t="s">
        <v>133</v>
      </c>
      <c r="C69" s="42" t="s">
        <v>40</v>
      </c>
      <c r="D69" s="84">
        <v>10.192780000000001</v>
      </c>
      <c r="E69" s="79" t="s">
        <v>34</v>
      </c>
      <c r="F69" s="74">
        <v>10.192780000000001</v>
      </c>
      <c r="G69" s="78"/>
      <c r="H69" s="77"/>
      <c r="I69" s="77"/>
      <c r="J69" s="109"/>
      <c r="K69" s="126">
        <v>0</v>
      </c>
      <c r="L69" s="55">
        <f>4.591392+0.688521</f>
        <v>5.2799129999999996</v>
      </c>
      <c r="M69" s="110"/>
      <c r="N69" s="65"/>
      <c r="O69" s="173"/>
      <c r="P69" s="147">
        <f t="shared" si="9"/>
        <v>5.4140000000000299E-2</v>
      </c>
      <c r="Q69" s="16">
        <v>10.138640000000001</v>
      </c>
      <c r="R69" s="8"/>
      <c r="S69" s="97">
        <v>4.8270239999999998</v>
      </c>
      <c r="T69" s="90">
        <v>4.5987590000000003</v>
      </c>
      <c r="U69" s="90">
        <v>7.8466999999999995E-2</v>
      </c>
      <c r="V69" s="91">
        <v>0</v>
      </c>
      <c r="W69" s="25">
        <f t="shared" si="10"/>
        <v>0.68853000000000186</v>
      </c>
    </row>
    <row r="70" spans="1:23" x14ac:dyDescent="0.25">
      <c r="A70" s="42">
        <v>21701</v>
      </c>
      <c r="B70" s="42" t="s">
        <v>133</v>
      </c>
      <c r="C70" s="42" t="s">
        <v>40</v>
      </c>
      <c r="D70" s="84">
        <v>15.28398</v>
      </c>
      <c r="E70" s="79" t="s">
        <v>34</v>
      </c>
      <c r="F70" s="74">
        <v>15.28398</v>
      </c>
      <c r="G70" s="78"/>
      <c r="H70" s="77"/>
      <c r="I70" s="77"/>
      <c r="J70" s="109"/>
      <c r="K70" s="126">
        <v>2.8966780000000001</v>
      </c>
      <c r="L70" s="55">
        <v>2.8967640000000001</v>
      </c>
      <c r="M70" s="110"/>
      <c r="N70" s="65"/>
      <c r="O70" s="173"/>
      <c r="P70" s="147">
        <f t="shared" si="9"/>
        <v>13.633782</v>
      </c>
      <c r="Q70" s="16">
        <v>1.6501980000000001</v>
      </c>
      <c r="R70" s="8"/>
      <c r="S70" s="97">
        <v>7.1252880000000003</v>
      </c>
      <c r="T70" s="90">
        <v>0</v>
      </c>
      <c r="U70" s="90">
        <v>0</v>
      </c>
      <c r="V70" s="91">
        <v>0</v>
      </c>
      <c r="W70" s="25">
        <f t="shared" si="10"/>
        <v>8.1586919999999985</v>
      </c>
    </row>
    <row r="71" spans="1:23" x14ac:dyDescent="0.25">
      <c r="A71" s="42">
        <v>21702</v>
      </c>
      <c r="B71" s="42" t="s">
        <v>133</v>
      </c>
      <c r="C71" s="42" t="s">
        <v>40</v>
      </c>
      <c r="D71" s="84">
        <v>25.288080000000001</v>
      </c>
      <c r="E71" s="79" t="s">
        <v>34</v>
      </c>
      <c r="F71" s="74">
        <v>25.288080000000001</v>
      </c>
      <c r="G71" s="78"/>
      <c r="H71" s="77"/>
      <c r="I71" s="77"/>
      <c r="J71" s="109"/>
      <c r="K71" s="126">
        <v>0</v>
      </c>
      <c r="L71" s="55">
        <v>2.0856270000000001</v>
      </c>
      <c r="M71" s="110"/>
      <c r="N71" s="65"/>
      <c r="O71" s="173"/>
      <c r="P71" s="147">
        <f t="shared" si="9"/>
        <v>25.254845</v>
      </c>
      <c r="Q71" s="16">
        <v>3.3235000000000001E-2</v>
      </c>
      <c r="R71" s="8"/>
      <c r="S71" s="13">
        <v>20.57255</v>
      </c>
      <c r="T71" s="90">
        <v>0</v>
      </c>
      <c r="U71" s="90">
        <v>0</v>
      </c>
      <c r="V71" s="91">
        <v>0</v>
      </c>
      <c r="W71" s="25">
        <f t="shared" si="8"/>
        <v>4.7155300000000011</v>
      </c>
    </row>
    <row r="72" spans="1:23" x14ac:dyDescent="0.25">
      <c r="A72" s="42">
        <v>21703</v>
      </c>
      <c r="B72" s="42" t="s">
        <v>133</v>
      </c>
      <c r="C72" s="42" t="s">
        <v>40</v>
      </c>
      <c r="D72" s="84">
        <v>56.215899999999998</v>
      </c>
      <c r="E72" s="79" t="s">
        <v>34</v>
      </c>
      <c r="F72" s="74">
        <v>52.946190000000001</v>
      </c>
      <c r="G72" s="78"/>
      <c r="H72" s="77"/>
      <c r="I72" s="77"/>
      <c r="J72" s="109"/>
      <c r="K72" s="126">
        <v>43.354379999999999</v>
      </c>
      <c r="L72" s="55">
        <f>1.183981+8.717978+3.812176+4.000151</f>
        <v>17.714285999999998</v>
      </c>
      <c r="M72" s="115"/>
      <c r="N72" s="67"/>
      <c r="O72" s="173">
        <v>3.2696999999999998</v>
      </c>
      <c r="P72" s="147">
        <f t="shared" si="9"/>
        <v>52.946191999999996</v>
      </c>
      <c r="Q72" s="146">
        <v>3.2697080000000001</v>
      </c>
      <c r="R72" s="8"/>
      <c r="S72" s="13">
        <v>0</v>
      </c>
      <c r="T72" s="90">
        <v>0</v>
      </c>
      <c r="U72" s="90">
        <v>12.09374</v>
      </c>
      <c r="V72" s="91">
        <v>0</v>
      </c>
      <c r="W72" s="25">
        <f t="shared" si="8"/>
        <v>44.122159999999994</v>
      </c>
    </row>
    <row r="73" spans="1:23" x14ac:dyDescent="0.25">
      <c r="A73" s="42">
        <v>21704</v>
      </c>
      <c r="B73" s="42" t="s">
        <v>133</v>
      </c>
      <c r="C73" s="42" t="s">
        <v>40</v>
      </c>
      <c r="D73" s="84">
        <v>138.58160000000001</v>
      </c>
      <c r="E73" s="75" t="s">
        <v>34</v>
      </c>
      <c r="F73" s="76">
        <v>66.753619999999998</v>
      </c>
      <c r="G73" s="78"/>
      <c r="H73" s="77"/>
      <c r="I73" s="77"/>
      <c r="J73" s="109"/>
      <c r="K73" s="126">
        <f>12.99157+1.612607</f>
        <v>14.604177</v>
      </c>
      <c r="L73" s="55">
        <f>0.085267+18.359237</f>
        <v>18.444504000000002</v>
      </c>
      <c r="M73" s="110"/>
      <c r="N73" s="65"/>
      <c r="O73" s="173">
        <f>67.124+4.701623</f>
        <v>71.825622999999993</v>
      </c>
      <c r="P73" s="147">
        <f t="shared" si="9"/>
        <v>39.417400000000015</v>
      </c>
      <c r="Q73" s="16">
        <v>99.164199999999994</v>
      </c>
      <c r="R73" s="8"/>
      <c r="S73" s="97">
        <v>43.573329999999999</v>
      </c>
      <c r="T73" s="90">
        <v>32.230919999999998</v>
      </c>
      <c r="U73" s="90">
        <v>19.055499999999999</v>
      </c>
      <c r="V73" s="91">
        <v>0</v>
      </c>
      <c r="W73" s="25">
        <f t="shared" si="8"/>
        <v>43.721850000000018</v>
      </c>
    </row>
    <row r="74" spans="1:23" x14ac:dyDescent="0.25">
      <c r="A74" s="42">
        <v>21705</v>
      </c>
      <c r="B74" s="42" t="s">
        <v>133</v>
      </c>
      <c r="C74" s="42" t="s">
        <v>40</v>
      </c>
      <c r="D74" s="84">
        <v>13.675840000000001</v>
      </c>
      <c r="E74" s="79" t="s">
        <v>34</v>
      </c>
      <c r="F74" s="74">
        <v>13.675840000000001</v>
      </c>
      <c r="G74" s="78"/>
      <c r="H74" s="77"/>
      <c r="I74" s="77"/>
      <c r="J74" s="109"/>
      <c r="K74" s="126">
        <v>0</v>
      </c>
      <c r="L74" s="55">
        <v>0</v>
      </c>
      <c r="M74" s="115"/>
      <c r="N74" s="67"/>
      <c r="O74" s="173"/>
      <c r="P74" s="147">
        <f t="shared" si="9"/>
        <v>13.675840000000001</v>
      </c>
      <c r="Q74" s="146">
        <v>0</v>
      </c>
      <c r="R74" s="8">
        <v>8.2440850000000001</v>
      </c>
      <c r="S74" s="13">
        <v>0.73708399999999996</v>
      </c>
      <c r="T74" s="90">
        <v>2.6448700000000001</v>
      </c>
      <c r="U74" s="90">
        <v>9.5993750000000002</v>
      </c>
      <c r="V74" s="91">
        <v>0</v>
      </c>
      <c r="W74" s="25">
        <f t="shared" si="8"/>
        <v>0.69451100000000032</v>
      </c>
    </row>
    <row r="75" spans="1:23" x14ac:dyDescent="0.25">
      <c r="A75" s="42">
        <v>21706</v>
      </c>
      <c r="B75" s="42" t="s">
        <v>133</v>
      </c>
      <c r="C75" s="42" t="s">
        <v>40</v>
      </c>
      <c r="D75" s="84">
        <v>57.593679999999999</v>
      </c>
      <c r="E75" s="75" t="s">
        <v>34</v>
      </c>
      <c r="F75" s="76">
        <v>57.593679999999999</v>
      </c>
      <c r="G75" s="79"/>
      <c r="H75" s="74"/>
      <c r="I75" s="74"/>
      <c r="J75" s="105"/>
      <c r="K75" s="126">
        <f>0.175123+14.379928</f>
        <v>14.555050999999999</v>
      </c>
      <c r="L75" s="54">
        <v>0</v>
      </c>
      <c r="M75" s="115"/>
      <c r="N75" s="67"/>
      <c r="O75" s="173"/>
      <c r="P75" s="147">
        <f t="shared" si="9"/>
        <v>57.593679999999999</v>
      </c>
      <c r="Q75" s="146">
        <v>0</v>
      </c>
      <c r="R75" s="8">
        <v>42.523119999999999</v>
      </c>
      <c r="S75" s="97">
        <v>0</v>
      </c>
      <c r="T75" s="90">
        <v>15.23692</v>
      </c>
      <c r="U75" s="90">
        <v>36.848039999999997</v>
      </c>
      <c r="V75" s="91">
        <v>0</v>
      </c>
      <c r="W75" s="25">
        <f t="shared" si="8"/>
        <v>5.5087200000000038</v>
      </c>
    </row>
    <row r="76" spans="1:23" x14ac:dyDescent="0.25">
      <c r="A76" s="42">
        <v>21707</v>
      </c>
      <c r="B76" s="42" t="s">
        <v>133</v>
      </c>
      <c r="C76" s="42" t="s">
        <v>40</v>
      </c>
      <c r="D76" s="84">
        <v>18.737439999999999</v>
      </c>
      <c r="E76" s="75" t="s">
        <v>34</v>
      </c>
      <c r="F76" s="76">
        <v>18.737439999999999</v>
      </c>
      <c r="G76" s="79"/>
      <c r="H76" s="74"/>
      <c r="I76" s="74"/>
      <c r="J76" s="105"/>
      <c r="K76" s="126">
        <v>5.5959880000000002</v>
      </c>
      <c r="L76" s="54">
        <v>0</v>
      </c>
      <c r="M76" s="115"/>
      <c r="N76" s="67"/>
      <c r="O76" s="173"/>
      <c r="P76" s="147">
        <f t="shared" si="9"/>
        <v>18.737439999999999</v>
      </c>
      <c r="Q76" s="16">
        <v>0</v>
      </c>
      <c r="R76" s="8">
        <v>1.313798</v>
      </c>
      <c r="S76" s="13">
        <v>0</v>
      </c>
      <c r="T76" s="90">
        <v>0</v>
      </c>
      <c r="U76" s="90">
        <v>0</v>
      </c>
      <c r="V76" s="91">
        <v>0</v>
      </c>
      <c r="W76" s="25">
        <f t="shared" si="8"/>
        <v>18.737439999999999</v>
      </c>
    </row>
    <row r="77" spans="1:23" x14ac:dyDescent="0.25">
      <c r="A77" s="42">
        <v>21708</v>
      </c>
      <c r="B77" s="42" t="s">
        <v>133</v>
      </c>
      <c r="C77" s="42" t="s">
        <v>40</v>
      </c>
      <c r="D77" s="84">
        <v>10.09169</v>
      </c>
      <c r="E77" s="75" t="s">
        <v>34</v>
      </c>
      <c r="F77" s="76">
        <v>10.09169</v>
      </c>
      <c r="G77" s="79"/>
      <c r="H77" s="74"/>
      <c r="I77" s="74"/>
      <c r="J77" s="105"/>
      <c r="K77" s="157">
        <v>0</v>
      </c>
      <c r="L77" s="54">
        <v>0</v>
      </c>
      <c r="M77" s="115"/>
      <c r="N77" s="67"/>
      <c r="O77" s="173"/>
      <c r="P77" s="147">
        <f t="shared" si="9"/>
        <v>8.7799700000000005</v>
      </c>
      <c r="Q77" s="16">
        <v>1.31172</v>
      </c>
      <c r="R77" s="8">
        <v>1.3966019999999999</v>
      </c>
      <c r="S77" s="97">
        <v>10.09169</v>
      </c>
      <c r="T77" s="90">
        <v>0</v>
      </c>
      <c r="U77" s="90">
        <v>0</v>
      </c>
      <c r="V77" s="91">
        <v>0</v>
      </c>
      <c r="W77" s="25">
        <f t="shared" si="8"/>
        <v>0</v>
      </c>
    </row>
    <row r="78" spans="1:23" x14ac:dyDescent="0.25">
      <c r="A78" s="42">
        <v>21709</v>
      </c>
      <c r="B78" s="42" t="s">
        <v>133</v>
      </c>
      <c r="C78" s="42" t="s">
        <v>40</v>
      </c>
      <c r="D78" s="84">
        <v>5.3616539999999997</v>
      </c>
      <c r="E78" s="75" t="s">
        <v>34</v>
      </c>
      <c r="F78" s="76">
        <v>5.3616539999999997</v>
      </c>
      <c r="G78" s="78"/>
      <c r="H78" s="77"/>
      <c r="I78" s="77"/>
      <c r="J78" s="109"/>
      <c r="K78" s="126">
        <v>0</v>
      </c>
      <c r="L78" s="55">
        <v>0</v>
      </c>
      <c r="M78" s="110"/>
      <c r="N78" s="65"/>
      <c r="O78" s="173"/>
      <c r="P78" s="147">
        <f t="shared" si="9"/>
        <v>5.3616539999999997</v>
      </c>
      <c r="Q78" s="16">
        <v>0</v>
      </c>
      <c r="R78" s="93"/>
      <c r="S78" s="97">
        <v>0</v>
      </c>
      <c r="T78" s="90">
        <v>0</v>
      </c>
      <c r="U78" s="90">
        <v>4.6572449999999996</v>
      </c>
      <c r="V78" s="91">
        <v>0</v>
      </c>
      <c r="W78" s="25">
        <f t="shared" si="8"/>
        <v>0.70440900000000006</v>
      </c>
    </row>
    <row r="79" spans="1:23" x14ac:dyDescent="0.25">
      <c r="A79" s="42">
        <v>21710</v>
      </c>
      <c r="B79" s="42" t="s">
        <v>133</v>
      </c>
      <c r="C79" s="42" t="s">
        <v>40</v>
      </c>
      <c r="D79" s="84">
        <v>26.594840000000001</v>
      </c>
      <c r="E79" s="79" t="s">
        <v>34</v>
      </c>
      <c r="F79" s="74">
        <v>26.594840000000001</v>
      </c>
      <c r="G79" s="73"/>
      <c r="H79" s="77"/>
      <c r="I79" s="77"/>
      <c r="J79" s="109"/>
      <c r="K79" s="126">
        <v>0</v>
      </c>
      <c r="L79" s="55">
        <v>0</v>
      </c>
      <c r="M79" s="110"/>
      <c r="N79" s="65"/>
      <c r="O79" s="173"/>
      <c r="P79" s="147">
        <f t="shared" si="9"/>
        <v>26.594840000000001</v>
      </c>
      <c r="Q79" s="146">
        <v>0</v>
      </c>
      <c r="R79" s="8">
        <v>6.2507549999999998</v>
      </c>
      <c r="S79" s="97">
        <v>7.9322189999999999</v>
      </c>
      <c r="T79" s="90">
        <v>1.3899809999999999</v>
      </c>
      <c r="U79" s="90">
        <v>12.192830000000001</v>
      </c>
      <c r="V79" s="91">
        <v>0</v>
      </c>
      <c r="W79" s="25">
        <f t="shared" si="8"/>
        <v>5.0798099999999984</v>
      </c>
    </row>
    <row r="80" spans="1:23" x14ac:dyDescent="0.25">
      <c r="A80" s="42">
        <v>21712</v>
      </c>
      <c r="B80" s="42" t="s">
        <v>133</v>
      </c>
      <c r="C80" s="42" t="s">
        <v>40</v>
      </c>
      <c r="D80" s="84">
        <v>28.93702</v>
      </c>
      <c r="E80" s="79" t="s">
        <v>34</v>
      </c>
      <c r="F80" s="74">
        <v>4.8339939999999997</v>
      </c>
      <c r="G80" s="73"/>
      <c r="H80" s="77"/>
      <c r="I80" s="77"/>
      <c r="J80" s="109"/>
      <c r="K80" s="126">
        <v>2.8173710000000001</v>
      </c>
      <c r="L80" s="55">
        <v>0</v>
      </c>
      <c r="M80" s="110"/>
      <c r="N80" s="65"/>
      <c r="O80" s="173"/>
      <c r="P80" s="147">
        <f t="shared" si="9"/>
        <v>28.93702</v>
      </c>
      <c r="Q80" s="146">
        <v>0</v>
      </c>
      <c r="R80" s="8"/>
      <c r="S80" s="97">
        <v>0</v>
      </c>
      <c r="T80" s="90">
        <v>0</v>
      </c>
      <c r="U80" s="90">
        <v>0.97466799999999998</v>
      </c>
      <c r="V80" s="91">
        <v>0</v>
      </c>
      <c r="W80" s="25">
        <f t="shared" si="8"/>
        <v>27.962351999999999</v>
      </c>
    </row>
    <row r="81" spans="1:24" x14ac:dyDescent="0.25">
      <c r="A81" s="42">
        <v>21713</v>
      </c>
      <c r="B81" s="42" t="s">
        <v>133</v>
      </c>
      <c r="C81" s="42" t="s">
        <v>40</v>
      </c>
      <c r="D81" s="84">
        <v>43.168089999999999</v>
      </c>
      <c r="E81" s="79" t="s">
        <v>34</v>
      </c>
      <c r="F81" s="74">
        <v>28.93702</v>
      </c>
      <c r="G81" s="75"/>
      <c r="H81" s="76"/>
      <c r="I81" s="77"/>
      <c r="J81" s="109"/>
      <c r="K81" s="126">
        <v>0</v>
      </c>
      <c r="L81" s="55">
        <v>0</v>
      </c>
      <c r="M81" s="110"/>
      <c r="N81" s="65"/>
      <c r="O81" s="173"/>
      <c r="P81" s="147">
        <f t="shared" si="9"/>
        <v>41.742131999999998</v>
      </c>
      <c r="Q81" s="146">
        <v>1.4259580000000001</v>
      </c>
      <c r="R81" s="8"/>
      <c r="S81" s="97">
        <v>1.770527</v>
      </c>
      <c r="T81" s="90">
        <v>1.774E-3</v>
      </c>
      <c r="U81" s="90">
        <v>33.07403</v>
      </c>
      <c r="V81" s="91">
        <v>0</v>
      </c>
      <c r="W81" s="25">
        <f t="shared" si="8"/>
        <v>8.3217590000000001</v>
      </c>
    </row>
    <row r="82" spans="1:24" x14ac:dyDescent="0.25">
      <c r="A82" s="42">
        <v>21714</v>
      </c>
      <c r="B82" s="42" t="s">
        <v>133</v>
      </c>
      <c r="C82" s="42" t="s">
        <v>40</v>
      </c>
      <c r="D82" s="84">
        <v>9.1167029999999993</v>
      </c>
      <c r="E82" s="75" t="s">
        <v>34</v>
      </c>
      <c r="F82" s="76">
        <v>43.168089999999999</v>
      </c>
      <c r="G82" s="79"/>
      <c r="H82" s="74"/>
      <c r="I82" s="74"/>
      <c r="J82" s="105"/>
      <c r="K82" s="126">
        <v>0</v>
      </c>
      <c r="L82" s="54">
        <v>0</v>
      </c>
      <c r="M82" s="110"/>
      <c r="N82" s="65"/>
      <c r="O82" s="173"/>
      <c r="P82" s="147">
        <f t="shared" si="9"/>
        <v>9.1167029999999993</v>
      </c>
      <c r="Q82" s="146">
        <v>0</v>
      </c>
      <c r="R82" s="8"/>
      <c r="S82" s="97">
        <v>0</v>
      </c>
      <c r="T82" s="90">
        <v>1.858865</v>
      </c>
      <c r="U82" s="90">
        <v>5.3379859999999999</v>
      </c>
      <c r="V82" s="91">
        <v>0</v>
      </c>
      <c r="W82" s="25">
        <f t="shared" si="8"/>
        <v>1.9198519999999997</v>
      </c>
    </row>
    <row r="83" spans="1:24" x14ac:dyDescent="0.25">
      <c r="A83" s="42">
        <v>21715</v>
      </c>
      <c r="B83" s="42" t="s">
        <v>133</v>
      </c>
      <c r="C83" s="42" t="s">
        <v>40</v>
      </c>
      <c r="D83" s="84">
        <v>5.5097139999999998</v>
      </c>
      <c r="E83" s="75" t="s">
        <v>34</v>
      </c>
      <c r="F83" s="74">
        <v>5.5097139999999998</v>
      </c>
      <c r="G83" s="73"/>
      <c r="H83" s="77"/>
      <c r="I83" s="77"/>
      <c r="J83" s="109"/>
      <c r="K83" s="126">
        <v>0</v>
      </c>
      <c r="L83" s="55">
        <v>0</v>
      </c>
      <c r="M83" s="115"/>
      <c r="N83" s="67"/>
      <c r="O83" s="173"/>
      <c r="P83" s="147">
        <f t="shared" si="9"/>
        <v>5.5097139999999998</v>
      </c>
      <c r="Q83" s="16">
        <v>0</v>
      </c>
      <c r="R83" s="8"/>
      <c r="S83" s="97">
        <v>0</v>
      </c>
      <c r="T83" s="90">
        <v>4.7417000000000001E-2</v>
      </c>
      <c r="U83" s="90">
        <v>3.8008199999999999</v>
      </c>
      <c r="V83" s="91">
        <v>0</v>
      </c>
      <c r="W83" s="25">
        <f t="shared" si="8"/>
        <v>1.6614770000000001</v>
      </c>
    </row>
    <row r="84" spans="1:24" x14ac:dyDescent="0.25">
      <c r="A84" s="42">
        <v>21716</v>
      </c>
      <c r="B84" s="42" t="s">
        <v>133</v>
      </c>
      <c r="C84" s="42" t="s">
        <v>40</v>
      </c>
      <c r="D84" s="84">
        <v>10.94225</v>
      </c>
      <c r="E84" s="75" t="s">
        <v>34</v>
      </c>
      <c r="F84" s="76">
        <v>10.94225</v>
      </c>
      <c r="G84" s="73"/>
      <c r="H84" s="77"/>
      <c r="I84" s="77"/>
      <c r="J84" s="109"/>
      <c r="K84" s="126">
        <v>0</v>
      </c>
      <c r="L84" s="55">
        <v>0</v>
      </c>
      <c r="M84" s="110"/>
      <c r="N84" s="65"/>
      <c r="O84" s="173"/>
      <c r="P84" s="147">
        <f t="shared" si="9"/>
        <v>10.94225</v>
      </c>
      <c r="Q84" s="146">
        <v>0</v>
      </c>
      <c r="R84" s="8"/>
      <c r="S84" s="97">
        <v>0</v>
      </c>
      <c r="T84" s="90">
        <v>0</v>
      </c>
      <c r="U84" s="90">
        <v>9.0585769999999997</v>
      </c>
      <c r="V84" s="91">
        <v>0</v>
      </c>
      <c r="W84" s="25">
        <f t="shared" si="8"/>
        <v>1.8836729999999999</v>
      </c>
    </row>
    <row r="85" spans="1:24" x14ac:dyDescent="0.25">
      <c r="A85" s="42">
        <v>21718</v>
      </c>
      <c r="B85" s="42" t="s">
        <v>133</v>
      </c>
      <c r="C85" s="42" t="s">
        <v>40</v>
      </c>
      <c r="D85" s="84">
        <v>16.407859999999999</v>
      </c>
      <c r="E85" s="75" t="s">
        <v>34</v>
      </c>
      <c r="F85" s="74">
        <v>16.407859999999999</v>
      </c>
      <c r="G85" s="73"/>
      <c r="H85" s="77"/>
      <c r="I85" s="77"/>
      <c r="J85" s="109"/>
      <c r="K85" s="126">
        <v>0</v>
      </c>
      <c r="L85" s="55">
        <v>0</v>
      </c>
      <c r="M85" s="115"/>
      <c r="N85" s="67"/>
      <c r="O85" s="173"/>
      <c r="P85" s="147">
        <f t="shared" si="9"/>
        <v>0</v>
      </c>
      <c r="Q85" s="16">
        <v>16.407859999999999</v>
      </c>
      <c r="R85" s="8"/>
      <c r="S85" s="97">
        <v>0</v>
      </c>
      <c r="T85" s="90">
        <v>1.4168320000000001</v>
      </c>
      <c r="U85" s="90">
        <v>14.99103</v>
      </c>
      <c r="V85" s="91">
        <v>0</v>
      </c>
      <c r="W85" s="25">
        <f t="shared" si="8"/>
        <v>-2.0000000020559128E-6</v>
      </c>
    </row>
    <row r="86" spans="1:24" x14ac:dyDescent="0.25">
      <c r="A86" s="59" t="s">
        <v>52</v>
      </c>
      <c r="B86" s="59" t="s">
        <v>133</v>
      </c>
      <c r="C86" s="59"/>
      <c r="D86" s="83">
        <f>SUM(D50:D85)</f>
        <v>764.80248899999992</v>
      </c>
      <c r="E86" s="83"/>
      <c r="F86" s="83">
        <f>SUM(F50:F85)</f>
        <v>665.42793399999994</v>
      </c>
      <c r="G86" s="83"/>
      <c r="H86" s="83">
        <f>SUM(H50:H85)</f>
        <v>0</v>
      </c>
      <c r="I86" s="83"/>
      <c r="J86" s="83">
        <f>SUM(J50:J85)</f>
        <v>0</v>
      </c>
      <c r="K86" s="83">
        <f>SUM(K50:K85)</f>
        <v>113.64835099999998</v>
      </c>
      <c r="L86" s="83">
        <f>SUM(L50:L85)</f>
        <v>69.608323000000013</v>
      </c>
      <c r="M86" s="83"/>
      <c r="N86" s="83">
        <f t="shared" ref="N86:W86" si="11">SUM(N50:N85)</f>
        <v>0</v>
      </c>
      <c r="O86" s="83">
        <f t="shared" si="11"/>
        <v>95.066500999999988</v>
      </c>
      <c r="P86" s="83">
        <f t="shared" si="11"/>
        <v>484.01881199999985</v>
      </c>
      <c r="Q86" s="83">
        <f t="shared" si="11"/>
        <v>280.7836769999999</v>
      </c>
      <c r="R86" s="83">
        <f t="shared" si="11"/>
        <v>71.246404999999996</v>
      </c>
      <c r="S86" s="83">
        <f t="shared" si="11"/>
        <v>217.38370700000002</v>
      </c>
      <c r="T86" s="83">
        <f t="shared" si="11"/>
        <v>99.479366999999982</v>
      </c>
      <c r="U86" s="83">
        <f t="shared" si="11"/>
        <v>191.78494899999995</v>
      </c>
      <c r="V86" s="83">
        <f t="shared" si="11"/>
        <v>4.5118119999999999</v>
      </c>
      <c r="W86" s="83">
        <f t="shared" si="11"/>
        <v>251.64265399999999</v>
      </c>
      <c r="X86" s="83"/>
    </row>
    <row r="87" spans="1:24" ht="30" x14ac:dyDescent="0.25">
      <c r="A87" s="184"/>
      <c r="B87" s="184"/>
      <c r="C87" s="184"/>
      <c r="D87" s="185"/>
      <c r="E87" s="186"/>
      <c r="F87" s="187"/>
      <c r="G87" s="32"/>
      <c r="H87" s="33"/>
      <c r="I87" s="33"/>
      <c r="J87" s="189"/>
      <c r="K87" s="190"/>
      <c r="L87" s="33"/>
      <c r="M87" s="196"/>
      <c r="N87" s="197"/>
      <c r="O87" s="197"/>
      <c r="P87" s="25"/>
      <c r="Q87" s="144"/>
      <c r="R87" s="198"/>
      <c r="S87" s="485" t="s">
        <v>53</v>
      </c>
      <c r="T87" s="486"/>
      <c r="U87" s="486"/>
      <c r="V87" s="86" t="s">
        <v>127</v>
      </c>
      <c r="W87" s="49"/>
    </row>
    <row r="88" spans="1:24" ht="45" x14ac:dyDescent="0.25">
      <c r="A88" s="211" t="s">
        <v>135</v>
      </c>
      <c r="B88" s="99" t="s">
        <v>136</v>
      </c>
      <c r="C88" s="99" t="s">
        <v>137</v>
      </c>
      <c r="D88" s="209" t="s">
        <v>13</v>
      </c>
      <c r="E88" s="208"/>
      <c r="F88" s="34"/>
      <c r="G88" s="32"/>
      <c r="H88" s="33"/>
      <c r="I88" s="33"/>
      <c r="J88" s="189"/>
      <c r="K88" s="190"/>
      <c r="L88" s="33"/>
      <c r="M88" s="196"/>
      <c r="N88" s="197"/>
      <c r="O88" s="197"/>
      <c r="P88" s="25"/>
      <c r="Q88" s="193"/>
      <c r="R88" s="198"/>
      <c r="S88" s="50" t="s">
        <v>54</v>
      </c>
      <c r="T88" s="50" t="s">
        <v>55</v>
      </c>
      <c r="U88" s="50" t="s">
        <v>56</v>
      </c>
      <c r="V88" s="165" t="s">
        <v>57</v>
      </c>
      <c r="W88" s="50" t="s">
        <v>58</v>
      </c>
      <c r="X88" s="138" t="s">
        <v>128</v>
      </c>
    </row>
    <row r="89" spans="1:24" x14ac:dyDescent="0.25">
      <c r="A89" s="42"/>
      <c r="B89" s="42" t="s">
        <v>138</v>
      </c>
      <c r="C89" s="210">
        <v>42528</v>
      </c>
      <c r="D89" s="84">
        <v>218.7</v>
      </c>
      <c r="E89" s="79" t="s">
        <v>37</v>
      </c>
      <c r="F89" s="74">
        <v>72.232839999999996</v>
      </c>
      <c r="G89" s="79"/>
      <c r="H89" s="74"/>
      <c r="I89" s="74"/>
      <c r="J89" s="105"/>
      <c r="K89" s="126"/>
      <c r="L89" s="117"/>
      <c r="M89" s="110"/>
      <c r="N89" s="65"/>
      <c r="O89" s="173"/>
      <c r="P89" s="6"/>
      <c r="Q89" s="146"/>
      <c r="R89" s="93"/>
      <c r="S89" s="97">
        <v>48.940300000000001</v>
      </c>
      <c r="T89" s="90">
        <v>0</v>
      </c>
      <c r="U89" s="90">
        <v>0</v>
      </c>
      <c r="V89" s="91">
        <v>0</v>
      </c>
      <c r="W89" s="25">
        <f t="shared" ref="W89:W96" si="12">D89-(S89+T89+U89+V89)</f>
        <v>169.75969999999998</v>
      </c>
    </row>
    <row r="90" spans="1:24" x14ac:dyDescent="0.25">
      <c r="A90" s="42"/>
      <c r="B90" s="42" t="s">
        <v>139</v>
      </c>
      <c r="C90" s="210">
        <v>42595</v>
      </c>
      <c r="D90" s="84">
        <v>145.9</v>
      </c>
      <c r="E90" s="79" t="s">
        <v>34</v>
      </c>
      <c r="F90" s="74">
        <v>3.758664</v>
      </c>
      <c r="G90" s="73"/>
      <c r="H90" s="77"/>
      <c r="I90" s="77"/>
      <c r="J90" s="109"/>
      <c r="K90" s="126"/>
      <c r="L90" s="116"/>
      <c r="M90" s="110"/>
      <c r="N90" s="65"/>
      <c r="O90" s="173"/>
      <c r="P90" s="6"/>
      <c r="Q90" s="16"/>
      <c r="R90" s="9"/>
      <c r="S90" s="13">
        <v>20.705580000000001</v>
      </c>
      <c r="T90" s="90">
        <v>0</v>
      </c>
      <c r="U90" s="90">
        <v>15.406864000000001</v>
      </c>
      <c r="V90" s="91">
        <v>0</v>
      </c>
      <c r="W90" s="25">
        <f t="shared" si="12"/>
        <v>109.787556</v>
      </c>
    </row>
    <row r="91" spans="1:24" x14ac:dyDescent="0.25">
      <c r="A91" s="42"/>
      <c r="B91" s="42" t="s">
        <v>140</v>
      </c>
      <c r="C91" s="210">
        <v>42954</v>
      </c>
      <c r="D91" s="84">
        <v>2303.5</v>
      </c>
      <c r="E91" s="79" t="s">
        <v>34</v>
      </c>
      <c r="F91" s="74">
        <v>1782.5940000000001</v>
      </c>
      <c r="G91" s="75"/>
      <c r="H91" s="76"/>
      <c r="I91" s="77"/>
      <c r="J91" s="109"/>
      <c r="K91" s="126"/>
      <c r="L91" s="116"/>
      <c r="M91" s="115"/>
      <c r="N91" s="67"/>
      <c r="O91" s="173"/>
      <c r="P91" s="6"/>
      <c r="Q91" s="16"/>
      <c r="R91" s="8"/>
      <c r="S91" s="97">
        <v>98.34</v>
      </c>
      <c r="T91" s="90">
        <v>458.83170200000001</v>
      </c>
      <c r="U91" s="90">
        <v>529.29338800000005</v>
      </c>
      <c r="V91" s="91">
        <v>9.9227299999999996</v>
      </c>
      <c r="W91" s="25">
        <f t="shared" si="12"/>
        <v>1207.1121799999999</v>
      </c>
    </row>
    <row r="92" spans="1:24" x14ac:dyDescent="0.25">
      <c r="A92" s="42"/>
      <c r="B92" s="42" t="s">
        <v>141</v>
      </c>
      <c r="C92" s="210">
        <v>43325</v>
      </c>
      <c r="D92" s="84">
        <v>11.7</v>
      </c>
      <c r="E92" s="75" t="s">
        <v>34</v>
      </c>
      <c r="F92" s="76">
        <v>11.71672</v>
      </c>
      <c r="G92" s="79"/>
      <c r="H92" s="74"/>
      <c r="I92" s="77"/>
      <c r="J92" s="109"/>
      <c r="K92" s="126"/>
      <c r="L92" s="116"/>
      <c r="M92" s="114"/>
      <c r="N92" s="66"/>
      <c r="O92" s="127"/>
      <c r="P92" s="6"/>
      <c r="Q92" s="146"/>
      <c r="R92" s="9"/>
      <c r="S92" s="97">
        <v>6.6316899999999999</v>
      </c>
      <c r="T92" s="90">
        <v>0</v>
      </c>
      <c r="U92" s="90">
        <v>5.0850270000000002</v>
      </c>
      <c r="V92" s="91">
        <v>0</v>
      </c>
      <c r="W92" s="25">
        <f t="shared" si="12"/>
        <v>-1.6716999999999871E-2</v>
      </c>
    </row>
    <row r="93" spans="1:24" x14ac:dyDescent="0.25">
      <c r="A93" s="42"/>
      <c r="B93" s="42" t="s">
        <v>142</v>
      </c>
      <c r="C93" s="210">
        <v>43329</v>
      </c>
      <c r="D93" s="84">
        <v>121.6</v>
      </c>
      <c r="E93" s="75" t="s">
        <v>34</v>
      </c>
      <c r="F93" s="76">
        <v>121.6152</v>
      </c>
      <c r="G93" s="78"/>
      <c r="H93" s="77"/>
      <c r="I93" s="77"/>
      <c r="J93" s="109"/>
      <c r="K93" s="126"/>
      <c r="L93" s="116"/>
      <c r="M93" s="114"/>
      <c r="N93" s="66"/>
      <c r="O93" s="127"/>
      <c r="P93" s="6"/>
      <c r="Q93" s="16"/>
      <c r="R93" s="93"/>
      <c r="S93" s="13">
        <v>27.568390000000001</v>
      </c>
      <c r="T93" s="90">
        <v>35.310507999999999</v>
      </c>
      <c r="U93" s="90">
        <v>23.886958</v>
      </c>
      <c r="V93" s="91">
        <v>0</v>
      </c>
      <c r="W93" s="25">
        <f t="shared" si="12"/>
        <v>34.834143999999995</v>
      </c>
    </row>
    <row r="94" spans="1:24" x14ac:dyDescent="0.25">
      <c r="A94" s="42"/>
      <c r="B94" s="42" t="s">
        <v>143</v>
      </c>
      <c r="C94" s="210">
        <v>43354</v>
      </c>
      <c r="D94" s="84">
        <v>414.8</v>
      </c>
      <c r="E94" s="75" t="s">
        <v>37</v>
      </c>
      <c r="F94" s="76">
        <v>414.82420000000002</v>
      </c>
      <c r="G94" s="79"/>
      <c r="H94" s="74"/>
      <c r="I94" s="77"/>
      <c r="J94" s="109"/>
      <c r="K94" s="126"/>
      <c r="L94" s="116"/>
      <c r="M94" s="114"/>
      <c r="N94" s="66"/>
      <c r="O94" s="127"/>
      <c r="P94" s="6"/>
      <c r="Q94" s="16"/>
      <c r="R94" s="9"/>
      <c r="S94" s="13">
        <v>11.520799999999999</v>
      </c>
      <c r="T94" s="90">
        <v>19.648976999999999</v>
      </c>
      <c r="U94" s="90">
        <v>62.156381000000003</v>
      </c>
      <c r="V94" s="91">
        <v>9.0879030000000007</v>
      </c>
      <c r="W94" s="25">
        <f t="shared" si="12"/>
        <v>312.38593900000001</v>
      </c>
    </row>
    <row r="95" spans="1:24" x14ac:dyDescent="0.25">
      <c r="A95" s="42"/>
      <c r="B95" s="42" t="s">
        <v>144</v>
      </c>
      <c r="C95" s="210">
        <v>43377</v>
      </c>
      <c r="D95" s="84">
        <v>6.8</v>
      </c>
      <c r="E95" s="75" t="s">
        <v>37</v>
      </c>
      <c r="F95" s="76">
        <v>6.8216770000000002</v>
      </c>
      <c r="G95" s="78"/>
      <c r="H95" s="77"/>
      <c r="I95" s="77"/>
      <c r="J95" s="109"/>
      <c r="K95" s="126"/>
      <c r="L95" s="116"/>
      <c r="M95" s="114"/>
      <c r="N95" s="66"/>
      <c r="O95" s="127"/>
      <c r="P95" s="6"/>
      <c r="Q95" s="16"/>
      <c r="R95" s="8"/>
      <c r="S95" s="13">
        <v>0</v>
      </c>
      <c r="T95" s="90">
        <v>0</v>
      </c>
      <c r="U95" s="90">
        <v>4.4923130000000002</v>
      </c>
      <c r="V95" s="91">
        <v>0</v>
      </c>
      <c r="W95" s="25">
        <f t="shared" si="12"/>
        <v>2.3076869999999996</v>
      </c>
    </row>
    <row r="96" spans="1:24" x14ac:dyDescent="0.25">
      <c r="A96" s="42">
        <v>10945</v>
      </c>
      <c r="B96" s="42" t="s">
        <v>145</v>
      </c>
      <c r="C96" s="210">
        <v>43389</v>
      </c>
      <c r="D96" s="84">
        <v>396.6</v>
      </c>
      <c r="E96" s="75" t="s">
        <v>34</v>
      </c>
      <c r="F96" s="76">
        <v>295.57690000000002</v>
      </c>
      <c r="G96" s="79" t="s">
        <v>37</v>
      </c>
      <c r="H96" s="74">
        <v>98.298169999999999</v>
      </c>
      <c r="I96" s="77"/>
      <c r="J96" s="109"/>
      <c r="K96" s="126"/>
      <c r="L96" s="116"/>
      <c r="M96" s="114"/>
      <c r="N96" s="66"/>
      <c r="O96" s="127"/>
      <c r="P96" s="6"/>
      <c r="Q96" s="16"/>
      <c r="R96" s="8"/>
      <c r="S96" s="13">
        <v>38.825859999999999</v>
      </c>
      <c r="T96" s="90">
        <v>10.852299</v>
      </c>
      <c r="U96" s="90">
        <v>211.48756499999999</v>
      </c>
      <c r="V96" s="91">
        <v>36.699941000000003</v>
      </c>
      <c r="W96" s="25">
        <f t="shared" si="12"/>
        <v>98.734334999999987</v>
      </c>
    </row>
    <row r="97" spans="1:24" x14ac:dyDescent="0.25">
      <c r="A97" s="59" t="s">
        <v>52</v>
      </c>
      <c r="B97" s="59"/>
      <c r="C97" s="59"/>
      <c r="D97" s="83">
        <f>SUM(D89:D96)</f>
        <v>3619.6</v>
      </c>
      <c r="E97" s="83"/>
      <c r="F97" s="83">
        <f>SUM(F89:F96)</f>
        <v>2709.1402010000002</v>
      </c>
      <c r="G97" s="83"/>
      <c r="H97" s="83">
        <f>SUM(H89:H96)</f>
        <v>98.298169999999999</v>
      </c>
      <c r="I97" s="83"/>
      <c r="J97" s="83">
        <f>SUM(J89:J96)</f>
        <v>0</v>
      </c>
      <c r="K97" s="83">
        <f>SUM(K89:K96)</f>
        <v>0</v>
      </c>
      <c r="L97" s="83">
        <f>SUM(L89:L96)</f>
        <v>0</v>
      </c>
      <c r="M97" s="83"/>
      <c r="N97" s="83">
        <f t="shared" ref="N97:W97" si="13">SUM(N89:N96)</f>
        <v>0</v>
      </c>
      <c r="O97" s="83">
        <f t="shared" si="13"/>
        <v>0</v>
      </c>
      <c r="P97" s="83">
        <f t="shared" si="13"/>
        <v>0</v>
      </c>
      <c r="Q97" s="83">
        <f t="shared" si="13"/>
        <v>0</v>
      </c>
      <c r="R97" s="83">
        <f t="shared" si="13"/>
        <v>0</v>
      </c>
      <c r="S97" s="83">
        <f t="shared" si="13"/>
        <v>252.53262000000001</v>
      </c>
      <c r="T97" s="83">
        <f t="shared" si="13"/>
        <v>524.64348599999994</v>
      </c>
      <c r="U97" s="83">
        <f t="shared" si="13"/>
        <v>851.8084960000001</v>
      </c>
      <c r="V97" s="83">
        <f t="shared" si="13"/>
        <v>55.710574000000001</v>
      </c>
      <c r="W97" s="83">
        <f t="shared" si="13"/>
        <v>1934.9048239999997</v>
      </c>
      <c r="X97" s="83"/>
    </row>
    <row r="98" spans="1:24" x14ac:dyDescent="0.25">
      <c r="A98" s="42"/>
      <c r="B98" s="42"/>
      <c r="C98" s="42"/>
      <c r="D98" s="84"/>
      <c r="E98" s="75"/>
      <c r="F98" s="76"/>
      <c r="G98" s="78"/>
      <c r="H98" s="77"/>
      <c r="I98" s="77"/>
      <c r="J98" s="109"/>
      <c r="K98" s="126"/>
      <c r="L98" s="116"/>
      <c r="M98" s="114"/>
      <c r="N98" s="66"/>
      <c r="O98" s="127"/>
      <c r="P98" s="6"/>
      <c r="Q98" s="16"/>
      <c r="R98" s="8"/>
      <c r="S98" s="13"/>
      <c r="T98" s="90"/>
      <c r="U98" s="90"/>
      <c r="V98" s="91"/>
      <c r="W98" s="25"/>
    </row>
    <row r="99" spans="1:24" x14ac:dyDescent="0.25">
      <c r="A99" s="42"/>
      <c r="B99" s="42"/>
      <c r="C99" s="42"/>
      <c r="D99" s="84"/>
      <c r="E99" s="75"/>
      <c r="F99" s="76"/>
      <c r="G99" s="75"/>
      <c r="H99" s="76"/>
      <c r="I99" s="77"/>
      <c r="J99" s="109"/>
      <c r="K99" s="126"/>
      <c r="L99" s="116"/>
      <c r="M99" s="114"/>
      <c r="N99" s="66"/>
      <c r="O99" s="127"/>
      <c r="P99" s="6"/>
      <c r="Q99" s="16"/>
      <c r="R99" s="93"/>
      <c r="S99" s="97"/>
      <c r="T99" s="90"/>
      <c r="U99" s="90"/>
      <c r="V99" s="91"/>
      <c r="W99" s="25"/>
    </row>
    <row r="100" spans="1:24" x14ac:dyDescent="0.25">
      <c r="A100" s="42"/>
      <c r="B100" s="42"/>
      <c r="C100" s="42"/>
      <c r="D100" s="84"/>
      <c r="E100" s="75"/>
      <c r="F100" s="76"/>
      <c r="G100" s="73"/>
      <c r="H100" s="77"/>
      <c r="I100" s="77"/>
      <c r="J100" s="109"/>
      <c r="K100" s="126"/>
      <c r="L100" s="116"/>
      <c r="M100" s="114"/>
      <c r="N100" s="66"/>
      <c r="O100" s="127"/>
      <c r="P100" s="6"/>
      <c r="Q100" s="16"/>
      <c r="R100" s="9"/>
      <c r="S100" s="97"/>
      <c r="T100" s="90"/>
      <c r="U100" s="90"/>
      <c r="V100" s="91"/>
      <c r="W100" s="25"/>
    </row>
    <row r="101" spans="1:24" x14ac:dyDescent="0.25">
      <c r="A101" s="42"/>
      <c r="B101" s="42"/>
      <c r="C101" s="42"/>
      <c r="D101" s="84"/>
      <c r="E101" s="75"/>
      <c r="F101" s="76"/>
      <c r="G101" s="73"/>
      <c r="H101" s="77"/>
      <c r="I101" s="77"/>
      <c r="J101" s="109"/>
      <c r="K101" s="126"/>
      <c r="L101" s="116"/>
      <c r="M101" s="114"/>
      <c r="N101" s="66"/>
      <c r="O101" s="127"/>
      <c r="P101" s="6"/>
      <c r="Q101" s="16"/>
      <c r="R101" s="9"/>
      <c r="S101" s="13"/>
      <c r="T101" s="90"/>
      <c r="U101" s="90"/>
      <c r="V101" s="91"/>
      <c r="W101" s="25"/>
    </row>
    <row r="102" spans="1:24" x14ac:dyDescent="0.25">
      <c r="A102" s="42"/>
      <c r="B102" s="42"/>
      <c r="C102" s="42"/>
      <c r="D102" s="84"/>
      <c r="E102" s="75"/>
      <c r="F102" s="76"/>
      <c r="G102" s="79"/>
      <c r="H102" s="74"/>
      <c r="I102" s="74"/>
      <c r="J102" s="105"/>
      <c r="K102" s="126"/>
      <c r="L102" s="117"/>
      <c r="M102" s="114"/>
      <c r="N102" s="66"/>
      <c r="O102" s="127"/>
      <c r="P102" s="6"/>
      <c r="Q102" s="16"/>
      <c r="R102" s="93"/>
      <c r="S102" s="97"/>
      <c r="T102" s="90"/>
      <c r="U102" s="90"/>
      <c r="V102" s="91"/>
      <c r="W102" s="25"/>
    </row>
    <row r="103" spans="1:24" x14ac:dyDescent="0.25">
      <c r="A103" s="42"/>
      <c r="B103" s="42"/>
      <c r="C103" s="42"/>
      <c r="D103" s="84"/>
      <c r="E103" s="75"/>
      <c r="F103" s="76"/>
      <c r="G103" s="75"/>
      <c r="H103" s="76"/>
      <c r="I103" s="77"/>
      <c r="J103" s="109"/>
      <c r="K103" s="126"/>
      <c r="L103" s="116"/>
      <c r="M103" s="114"/>
      <c r="N103" s="66"/>
      <c r="O103" s="127"/>
      <c r="P103" s="6"/>
      <c r="Q103" s="16"/>
      <c r="R103" s="93"/>
      <c r="S103" s="13"/>
      <c r="T103" s="90"/>
      <c r="U103" s="90"/>
      <c r="V103" s="91"/>
      <c r="W103" s="25"/>
    </row>
    <row r="104" spans="1:24" x14ac:dyDescent="0.25">
      <c r="A104" s="42"/>
      <c r="B104" s="42"/>
      <c r="C104" s="42"/>
      <c r="D104" s="84"/>
      <c r="E104" s="75"/>
      <c r="F104" s="76"/>
      <c r="G104" s="75"/>
      <c r="H104" s="76"/>
      <c r="I104" s="75"/>
      <c r="J104" s="111"/>
      <c r="K104" s="126"/>
      <c r="L104" s="118"/>
      <c r="M104" s="115"/>
      <c r="N104" s="67"/>
      <c r="O104" s="173"/>
      <c r="P104" s="6"/>
      <c r="Q104" s="16"/>
      <c r="R104" s="93"/>
      <c r="S104" s="13"/>
      <c r="T104" s="90"/>
      <c r="U104" s="90"/>
      <c r="V104" s="91"/>
      <c r="W104" s="25"/>
    </row>
    <row r="105" spans="1:24" x14ac:dyDescent="0.25">
      <c r="A105" s="42"/>
      <c r="B105" s="42"/>
      <c r="C105" s="42"/>
      <c r="D105" s="84"/>
      <c r="E105" s="75"/>
      <c r="F105" s="76"/>
      <c r="G105" s="75"/>
      <c r="H105" s="76"/>
      <c r="I105" s="77"/>
      <c r="J105" s="109"/>
      <c r="K105" s="126"/>
      <c r="L105" s="116"/>
      <c r="M105" s="115"/>
      <c r="N105" s="67"/>
      <c r="O105" s="130"/>
      <c r="P105" s="6"/>
      <c r="Q105" s="16"/>
      <c r="R105" s="9"/>
      <c r="S105" s="97"/>
      <c r="T105" s="90"/>
      <c r="U105" s="90"/>
      <c r="V105" s="91"/>
      <c r="W105" s="25"/>
    </row>
    <row r="106" spans="1:24" x14ac:dyDescent="0.25">
      <c r="A106" s="42"/>
      <c r="B106" s="42"/>
      <c r="C106" s="42"/>
      <c r="D106" s="84"/>
      <c r="E106" s="75"/>
      <c r="F106" s="76"/>
      <c r="G106" s="78"/>
      <c r="H106" s="77"/>
      <c r="I106" s="77"/>
      <c r="J106" s="109"/>
      <c r="K106" s="126"/>
      <c r="L106" s="116"/>
      <c r="M106" s="115"/>
      <c r="N106" s="67"/>
      <c r="O106" s="130"/>
      <c r="P106" s="6"/>
      <c r="Q106" s="16"/>
      <c r="R106" s="8"/>
      <c r="S106" s="13"/>
      <c r="T106" s="90"/>
      <c r="U106" s="90"/>
      <c r="V106" s="91"/>
      <c r="W106" s="25"/>
    </row>
    <row r="107" spans="1:24" x14ac:dyDescent="0.25">
      <c r="A107" s="42"/>
      <c r="B107" s="42"/>
      <c r="C107" s="42"/>
      <c r="D107" s="84"/>
      <c r="E107" s="75"/>
      <c r="F107" s="76"/>
      <c r="G107" s="78"/>
      <c r="H107" s="77"/>
      <c r="I107" s="77"/>
      <c r="J107" s="109"/>
      <c r="K107" s="126"/>
      <c r="L107" s="116"/>
      <c r="M107" s="115"/>
      <c r="N107" s="67"/>
      <c r="O107" s="130"/>
      <c r="P107" s="6"/>
      <c r="Q107" s="146"/>
      <c r="R107" s="9"/>
      <c r="S107" s="13"/>
      <c r="T107" s="90"/>
      <c r="U107" s="90"/>
      <c r="V107" s="91"/>
      <c r="W107" s="25"/>
    </row>
    <row r="108" spans="1:24" x14ac:dyDescent="0.25">
      <c r="A108" s="42"/>
      <c r="B108" s="42"/>
      <c r="C108" s="42"/>
      <c r="D108" s="84"/>
      <c r="E108" s="75"/>
      <c r="F108" s="76"/>
      <c r="G108" s="78"/>
      <c r="H108" s="77"/>
      <c r="I108" s="77"/>
      <c r="J108" s="109"/>
      <c r="K108" s="126"/>
      <c r="L108" s="116"/>
      <c r="M108" s="115"/>
      <c r="N108" s="67"/>
      <c r="O108" s="130"/>
      <c r="P108" s="6"/>
      <c r="Q108" s="16"/>
      <c r="R108" s="9"/>
      <c r="S108" s="13"/>
      <c r="T108" s="90"/>
      <c r="U108" s="90"/>
      <c r="V108" s="91"/>
      <c r="W108" s="25"/>
    </row>
    <row r="109" spans="1:24" x14ac:dyDescent="0.25">
      <c r="A109" s="42"/>
      <c r="B109" s="42"/>
      <c r="C109" s="42"/>
      <c r="D109" s="84"/>
      <c r="E109" s="75"/>
      <c r="F109" s="76"/>
      <c r="G109" s="78"/>
      <c r="H109" s="77"/>
      <c r="I109" s="77"/>
      <c r="J109" s="109"/>
      <c r="K109" s="126"/>
      <c r="L109" s="116"/>
      <c r="M109" s="115"/>
      <c r="N109" s="67"/>
      <c r="O109" s="130"/>
      <c r="P109" s="6"/>
      <c r="Q109" s="16"/>
      <c r="R109" s="93"/>
      <c r="S109" s="97"/>
      <c r="T109" s="90"/>
      <c r="U109" s="90"/>
      <c r="V109" s="91"/>
      <c r="W109" s="25"/>
    </row>
    <row r="110" spans="1:24" x14ac:dyDescent="0.25">
      <c r="A110" s="42"/>
      <c r="B110" s="42"/>
      <c r="C110" s="42"/>
      <c r="D110" s="84"/>
      <c r="E110" s="75"/>
      <c r="F110" s="76"/>
      <c r="G110" s="78"/>
      <c r="H110" s="77"/>
      <c r="I110" s="77"/>
      <c r="J110" s="109"/>
      <c r="K110" s="126"/>
      <c r="L110" s="116"/>
      <c r="M110" s="115"/>
      <c r="N110" s="67"/>
      <c r="O110" s="130"/>
      <c r="P110" s="6"/>
      <c r="Q110" s="146"/>
      <c r="R110" s="9"/>
      <c r="S110" s="97"/>
      <c r="T110" s="90"/>
      <c r="U110" s="90"/>
      <c r="V110" s="91"/>
      <c r="W110" s="25"/>
    </row>
    <row r="111" spans="1:24" x14ac:dyDescent="0.25">
      <c r="A111" s="42"/>
      <c r="B111" s="42"/>
      <c r="C111" s="42"/>
      <c r="D111" s="84"/>
      <c r="E111" s="75"/>
      <c r="F111" s="76"/>
      <c r="G111" s="78"/>
      <c r="H111" s="77"/>
      <c r="I111" s="77"/>
      <c r="J111" s="109"/>
      <c r="K111" s="126"/>
      <c r="L111" s="116"/>
      <c r="M111" s="110"/>
      <c r="N111" s="65"/>
      <c r="O111" s="173"/>
      <c r="P111" s="6"/>
      <c r="Q111" s="16"/>
      <c r="R111" s="8"/>
      <c r="S111" s="13"/>
      <c r="T111" s="90"/>
      <c r="U111" s="90"/>
      <c r="V111" s="91"/>
      <c r="W111" s="25"/>
    </row>
    <row r="112" spans="1:24" x14ac:dyDescent="0.25">
      <c r="A112" s="42"/>
      <c r="B112" s="42"/>
      <c r="C112" s="42"/>
      <c r="D112" s="84"/>
      <c r="E112" s="75"/>
      <c r="F112" s="76"/>
      <c r="G112" s="79"/>
      <c r="H112" s="74"/>
      <c r="I112" s="79"/>
      <c r="J112" s="105"/>
      <c r="K112" s="126"/>
      <c r="L112" s="117"/>
      <c r="M112" s="115"/>
      <c r="N112" s="67"/>
      <c r="O112" s="130"/>
      <c r="P112" s="6"/>
      <c r="Q112" s="146"/>
      <c r="R112" s="8"/>
      <c r="S112" s="97"/>
      <c r="T112" s="90"/>
      <c r="U112" s="90"/>
      <c r="V112" s="91"/>
      <c r="W112" s="25"/>
    </row>
    <row r="113" spans="1:23" x14ac:dyDescent="0.25">
      <c r="A113" s="42"/>
      <c r="B113" s="42"/>
      <c r="C113" s="42"/>
      <c r="D113" s="84"/>
      <c r="E113" s="75"/>
      <c r="F113" s="76"/>
      <c r="G113" s="78"/>
      <c r="H113" s="77"/>
      <c r="I113" s="77"/>
      <c r="J113" s="109"/>
      <c r="K113" s="126"/>
      <c r="L113" s="116"/>
      <c r="M113" s="115"/>
      <c r="N113" s="67"/>
      <c r="O113" s="130"/>
      <c r="P113" s="6"/>
      <c r="Q113" s="16"/>
      <c r="R113" s="9"/>
      <c r="S113" s="13"/>
      <c r="T113" s="90"/>
      <c r="U113" s="90"/>
      <c r="V113" s="91"/>
      <c r="W113" s="25"/>
    </row>
    <row r="114" spans="1:23" x14ac:dyDescent="0.25">
      <c r="A114" s="42"/>
      <c r="B114" s="42"/>
      <c r="C114" s="42"/>
      <c r="D114" s="84"/>
      <c r="E114" s="75"/>
      <c r="F114" s="76"/>
      <c r="G114" s="78"/>
      <c r="H114" s="77"/>
      <c r="I114" s="77"/>
      <c r="J114" s="109"/>
      <c r="K114" s="126"/>
      <c r="L114" s="116"/>
      <c r="M114" s="115"/>
      <c r="N114" s="67"/>
      <c r="O114" s="130"/>
      <c r="P114" s="6"/>
      <c r="Q114" s="146"/>
      <c r="R114" s="9"/>
      <c r="S114" s="97"/>
      <c r="T114" s="90"/>
      <c r="U114" s="90"/>
      <c r="V114" s="91"/>
      <c r="W114" s="25"/>
    </row>
    <row r="115" spans="1:23" x14ac:dyDescent="0.25">
      <c r="A115" s="42"/>
      <c r="B115" s="42"/>
      <c r="C115" s="42"/>
      <c r="D115" s="84"/>
      <c r="E115" s="75"/>
      <c r="F115" s="76"/>
      <c r="G115" s="78"/>
      <c r="H115" s="77"/>
      <c r="I115" s="77"/>
      <c r="J115" s="109"/>
      <c r="K115" s="126"/>
      <c r="L115" s="116"/>
      <c r="M115" s="115"/>
      <c r="N115" s="67"/>
      <c r="O115" s="130"/>
      <c r="P115" s="6"/>
      <c r="Q115" s="16"/>
      <c r="R115" s="9"/>
      <c r="S115" s="97"/>
      <c r="T115" s="90"/>
      <c r="U115" s="90"/>
      <c r="V115" s="91"/>
      <c r="W115" s="25"/>
    </row>
    <row r="116" spans="1:23" x14ac:dyDescent="0.25">
      <c r="A116" s="42"/>
      <c r="B116" s="42"/>
      <c r="C116" s="42"/>
      <c r="D116" s="84"/>
      <c r="E116" s="75"/>
      <c r="F116" s="76"/>
      <c r="G116" s="78"/>
      <c r="H116" s="77"/>
      <c r="I116" s="77"/>
      <c r="J116" s="109"/>
      <c r="K116" s="126"/>
      <c r="L116" s="116"/>
      <c r="M116" s="115"/>
      <c r="N116" s="67"/>
      <c r="O116" s="130"/>
      <c r="P116" s="6"/>
      <c r="Q116" s="16"/>
      <c r="R116" s="8"/>
      <c r="S116" s="13"/>
      <c r="T116" s="90"/>
      <c r="U116" s="90"/>
      <c r="V116" s="91"/>
      <c r="W116" s="25"/>
    </row>
    <row r="117" spans="1:23" x14ac:dyDescent="0.25">
      <c r="A117" s="42"/>
      <c r="B117" s="42"/>
      <c r="C117" s="42"/>
      <c r="D117" s="84"/>
      <c r="E117" s="75"/>
      <c r="F117" s="76"/>
      <c r="G117" s="78"/>
      <c r="H117" s="77"/>
      <c r="I117" s="77"/>
      <c r="J117" s="109"/>
      <c r="K117" s="126"/>
      <c r="L117" s="116"/>
      <c r="M117" s="115"/>
      <c r="N117" s="67"/>
      <c r="O117" s="173"/>
      <c r="P117" s="6"/>
      <c r="Q117" s="16"/>
      <c r="R117" s="8"/>
      <c r="S117" s="97"/>
      <c r="T117" s="90"/>
      <c r="U117" s="90"/>
      <c r="V117" s="91"/>
      <c r="W117" s="25"/>
    </row>
    <row r="118" spans="1:23" x14ac:dyDescent="0.25">
      <c r="A118" s="42"/>
      <c r="B118" s="42"/>
      <c r="C118" s="42"/>
      <c r="D118" s="84"/>
      <c r="E118" s="75"/>
      <c r="F118" s="76"/>
      <c r="G118" s="73"/>
      <c r="H118" s="77"/>
      <c r="I118" s="77"/>
      <c r="J118" s="109"/>
      <c r="K118" s="126"/>
      <c r="L118" s="116"/>
      <c r="M118" s="114"/>
      <c r="N118" s="66"/>
      <c r="O118" s="127"/>
      <c r="P118" s="6"/>
      <c r="Q118" s="16"/>
      <c r="R118" s="8"/>
      <c r="S118" s="13"/>
      <c r="T118" s="90"/>
      <c r="U118" s="90"/>
      <c r="V118" s="91"/>
      <c r="W118" s="25"/>
    </row>
    <row r="119" spans="1:23" x14ac:dyDescent="0.25">
      <c r="A119" s="42"/>
      <c r="B119" s="42"/>
      <c r="C119" s="42"/>
      <c r="D119" s="84"/>
      <c r="E119" s="75"/>
      <c r="F119" s="76"/>
      <c r="G119" s="73"/>
      <c r="H119" s="77"/>
      <c r="I119" s="77"/>
      <c r="J119" s="109"/>
      <c r="K119" s="126"/>
      <c r="L119" s="116"/>
      <c r="M119" s="114"/>
      <c r="N119" s="66"/>
      <c r="O119" s="127"/>
      <c r="P119" s="6"/>
      <c r="Q119" s="16"/>
      <c r="R119" s="9"/>
      <c r="S119" s="97"/>
      <c r="T119" s="90"/>
      <c r="U119" s="90"/>
      <c r="V119" s="91"/>
      <c r="W119" s="25"/>
    </row>
    <row r="120" spans="1:23" x14ac:dyDescent="0.25">
      <c r="A120" s="42"/>
      <c r="B120" s="42"/>
      <c r="C120" s="42"/>
      <c r="D120" s="84"/>
      <c r="E120" s="75"/>
      <c r="F120" s="76"/>
      <c r="G120" s="75"/>
      <c r="H120" s="76"/>
      <c r="I120" s="75"/>
      <c r="J120" s="111"/>
      <c r="K120" s="126"/>
      <c r="L120" s="118"/>
      <c r="M120" s="114"/>
      <c r="N120" s="66"/>
      <c r="O120" s="127"/>
      <c r="P120" s="6"/>
      <c r="Q120" s="16"/>
      <c r="R120" s="93"/>
      <c r="S120" s="97"/>
      <c r="T120" s="90"/>
      <c r="U120" s="90"/>
      <c r="V120" s="91"/>
      <c r="W120" s="25"/>
    </row>
    <row r="121" spans="1:23" x14ac:dyDescent="0.25">
      <c r="A121" s="42"/>
      <c r="B121" s="42"/>
      <c r="C121" s="42"/>
      <c r="D121" s="84"/>
      <c r="E121" s="75"/>
      <c r="F121" s="76"/>
      <c r="G121" s="73"/>
      <c r="H121" s="77"/>
      <c r="I121" s="77"/>
      <c r="J121" s="109"/>
      <c r="K121" s="126"/>
      <c r="L121" s="116"/>
      <c r="M121" s="114"/>
      <c r="N121" s="66"/>
      <c r="O121" s="127"/>
      <c r="P121" s="6"/>
      <c r="Q121" s="146"/>
      <c r="R121" s="9"/>
      <c r="S121" s="97"/>
      <c r="T121" s="90"/>
      <c r="U121" s="90"/>
      <c r="V121" s="91"/>
      <c r="W121" s="25"/>
    </row>
    <row r="122" spans="1:23" x14ac:dyDescent="0.25">
      <c r="A122" s="42"/>
      <c r="B122" s="42"/>
      <c r="C122" s="42"/>
      <c r="D122" s="84"/>
      <c r="E122" s="75"/>
      <c r="F122" s="76"/>
      <c r="G122" s="79"/>
      <c r="H122" s="74"/>
      <c r="I122" s="74"/>
      <c r="J122" s="105"/>
      <c r="K122" s="126"/>
      <c r="L122" s="117"/>
      <c r="M122" s="114"/>
      <c r="N122" s="66"/>
      <c r="O122" s="127"/>
      <c r="P122" s="6"/>
      <c r="Q122" s="16"/>
      <c r="R122" s="9"/>
      <c r="S122" s="13"/>
      <c r="T122" s="90"/>
      <c r="U122" s="90"/>
      <c r="V122" s="91"/>
      <c r="W122" s="25"/>
    </row>
    <row r="123" spans="1:23" x14ac:dyDescent="0.25">
      <c r="A123" s="42"/>
      <c r="B123" s="42"/>
      <c r="C123" s="42"/>
      <c r="D123" s="84"/>
      <c r="E123" s="75"/>
      <c r="F123" s="76"/>
      <c r="G123" s="79"/>
      <c r="H123" s="74"/>
      <c r="I123" s="74"/>
      <c r="J123" s="105"/>
      <c r="K123" s="126"/>
      <c r="L123" s="117"/>
      <c r="M123" s="114"/>
      <c r="N123" s="66"/>
      <c r="O123" s="127"/>
      <c r="P123" s="6"/>
      <c r="Q123" s="146"/>
      <c r="R123" s="93"/>
      <c r="S123" s="97"/>
      <c r="T123" s="90"/>
      <c r="U123" s="90"/>
      <c r="V123" s="91"/>
      <c r="W123" s="25"/>
    </row>
    <row r="124" spans="1:23" x14ac:dyDescent="0.25">
      <c r="A124" s="42"/>
      <c r="B124" s="42"/>
      <c r="C124" s="42"/>
      <c r="D124" s="84"/>
      <c r="E124" s="75"/>
      <c r="F124" s="76"/>
      <c r="G124" s="79"/>
      <c r="H124" s="74"/>
      <c r="I124" s="77"/>
      <c r="J124" s="109"/>
      <c r="K124" s="126"/>
      <c r="L124" s="116"/>
      <c r="M124" s="114"/>
      <c r="N124" s="66"/>
      <c r="O124" s="127"/>
      <c r="P124" s="6"/>
      <c r="Q124" s="16"/>
      <c r="R124" s="93"/>
      <c r="S124" s="13"/>
      <c r="T124" s="90"/>
      <c r="U124" s="90"/>
      <c r="V124" s="91"/>
      <c r="W124" s="25"/>
    </row>
    <row r="125" spans="1:23" x14ac:dyDescent="0.25">
      <c r="A125" s="42"/>
      <c r="B125" s="42"/>
      <c r="C125" s="42"/>
      <c r="D125" s="84"/>
      <c r="E125" s="75"/>
      <c r="F125" s="76"/>
      <c r="G125" s="79"/>
      <c r="H125" s="74"/>
      <c r="I125" s="77"/>
      <c r="J125" s="109"/>
      <c r="K125" s="126"/>
      <c r="L125" s="116"/>
      <c r="M125" s="114"/>
      <c r="N125" s="66"/>
      <c r="O125" s="127"/>
      <c r="P125" s="6"/>
      <c r="Q125" s="146"/>
      <c r="R125" s="93"/>
      <c r="S125" s="97"/>
      <c r="T125" s="90"/>
      <c r="U125" s="90"/>
      <c r="V125" s="91"/>
      <c r="W125" s="25"/>
    </row>
    <row r="126" spans="1:23" x14ac:dyDescent="0.25">
      <c r="A126" s="42"/>
      <c r="B126" s="42"/>
      <c r="C126" s="42"/>
      <c r="D126" s="84"/>
      <c r="E126" s="75"/>
      <c r="F126" s="76"/>
      <c r="G126" s="73"/>
      <c r="H126" s="77"/>
      <c r="I126" s="77"/>
      <c r="J126" s="109"/>
      <c r="K126" s="126"/>
      <c r="L126" s="116"/>
      <c r="M126" s="114"/>
      <c r="N126" s="66"/>
      <c r="O126" s="127"/>
      <c r="P126" s="6"/>
      <c r="Q126" s="146"/>
      <c r="R126" s="8"/>
      <c r="S126" s="97"/>
      <c r="T126" s="90"/>
      <c r="U126" s="90"/>
      <c r="V126" s="91"/>
      <c r="W126" s="25"/>
    </row>
    <row r="127" spans="1:23" x14ac:dyDescent="0.25">
      <c r="A127" s="42"/>
      <c r="B127" s="42"/>
      <c r="C127" s="42"/>
      <c r="D127" s="84"/>
      <c r="E127" s="75"/>
      <c r="F127" s="76"/>
      <c r="G127" s="78"/>
      <c r="H127" s="77"/>
      <c r="I127" s="77"/>
      <c r="J127" s="109"/>
      <c r="K127" s="126"/>
      <c r="L127" s="116"/>
      <c r="M127" s="114"/>
      <c r="N127" s="66"/>
      <c r="O127" s="127"/>
      <c r="P127" s="6"/>
      <c r="Q127" s="16"/>
      <c r="R127" s="93"/>
      <c r="S127" s="97"/>
      <c r="T127" s="90"/>
      <c r="U127" s="90"/>
      <c r="V127" s="91"/>
      <c r="W127" s="25"/>
    </row>
    <row r="128" spans="1:23" x14ac:dyDescent="0.25">
      <c r="A128" s="42"/>
      <c r="B128" s="42"/>
      <c r="C128" s="42"/>
      <c r="D128" s="84"/>
      <c r="E128" s="75"/>
      <c r="F128" s="76"/>
      <c r="G128" s="78"/>
      <c r="H128" s="77"/>
      <c r="I128" s="77"/>
      <c r="J128" s="109"/>
      <c r="K128" s="126"/>
      <c r="L128" s="116"/>
      <c r="M128" s="110"/>
      <c r="N128" s="65"/>
      <c r="O128" s="173"/>
      <c r="P128" s="6"/>
      <c r="Q128" s="16"/>
      <c r="R128" s="93"/>
      <c r="S128" s="97"/>
      <c r="T128" s="90"/>
      <c r="U128" s="90"/>
      <c r="V128" s="91"/>
      <c r="W128" s="25"/>
    </row>
    <row r="129" spans="1:23" x14ac:dyDescent="0.25">
      <c r="A129" s="42"/>
      <c r="B129" s="42"/>
      <c r="C129" s="42"/>
      <c r="D129" s="84"/>
      <c r="E129" s="79"/>
      <c r="F129" s="74"/>
      <c r="G129" s="78"/>
      <c r="H129" s="77"/>
      <c r="I129" s="77"/>
      <c r="J129" s="109"/>
      <c r="K129" s="126"/>
      <c r="L129" s="116"/>
      <c r="M129" s="115"/>
      <c r="N129" s="67"/>
      <c r="O129" s="130"/>
      <c r="P129" s="6"/>
      <c r="Q129" s="146"/>
      <c r="R129" s="8"/>
      <c r="S129" s="97"/>
      <c r="T129" s="90"/>
      <c r="U129" s="90"/>
      <c r="V129" s="91"/>
      <c r="W129" s="25"/>
    </row>
    <row r="130" spans="1:23" x14ac:dyDescent="0.25">
      <c r="A130" s="42"/>
      <c r="B130" s="42"/>
      <c r="C130" s="42"/>
      <c r="D130" s="84"/>
      <c r="E130" s="75"/>
      <c r="F130" s="76"/>
      <c r="G130" s="78"/>
      <c r="H130" s="77"/>
      <c r="I130" s="77"/>
      <c r="J130" s="109"/>
      <c r="K130" s="126"/>
      <c r="L130" s="116"/>
      <c r="M130" s="115"/>
      <c r="N130" s="67"/>
      <c r="O130" s="130"/>
      <c r="P130" s="6"/>
      <c r="Q130" s="16"/>
      <c r="R130" s="9"/>
      <c r="S130" s="97"/>
      <c r="T130" s="90"/>
      <c r="U130" s="90"/>
      <c r="V130" s="91"/>
      <c r="W130" s="25"/>
    </row>
    <row r="131" spans="1:23" x14ac:dyDescent="0.25">
      <c r="A131" s="42"/>
      <c r="B131" s="42"/>
      <c r="C131" s="42"/>
      <c r="D131" s="84"/>
      <c r="E131" s="75"/>
      <c r="F131" s="76"/>
      <c r="G131" s="78"/>
      <c r="H131" s="77"/>
      <c r="I131" s="77"/>
      <c r="J131" s="109"/>
      <c r="K131" s="126"/>
      <c r="L131" s="116"/>
      <c r="M131" s="115"/>
      <c r="N131" s="67"/>
      <c r="O131" s="130"/>
      <c r="P131" s="6"/>
      <c r="Q131" s="16"/>
      <c r="R131" s="9"/>
      <c r="S131" s="97"/>
      <c r="T131" s="90"/>
      <c r="U131" s="90"/>
      <c r="V131" s="91"/>
      <c r="W131" s="25"/>
    </row>
    <row r="132" spans="1:23" x14ac:dyDescent="0.25">
      <c r="A132" s="42"/>
      <c r="B132" s="42"/>
      <c r="C132" s="42"/>
      <c r="D132" s="84"/>
      <c r="E132" s="75"/>
      <c r="F132" s="76"/>
      <c r="G132" s="78"/>
      <c r="H132" s="77"/>
      <c r="I132" s="77"/>
      <c r="J132" s="109"/>
      <c r="K132" s="126"/>
      <c r="L132" s="116"/>
      <c r="M132" s="115"/>
      <c r="N132" s="67"/>
      <c r="O132" s="130"/>
      <c r="P132" s="6"/>
      <c r="Q132" s="146"/>
      <c r="R132" s="8"/>
      <c r="S132" s="13"/>
      <c r="T132" s="90"/>
      <c r="U132" s="90"/>
      <c r="V132" s="91"/>
      <c r="W132" s="25"/>
    </row>
    <row r="133" spans="1:23" x14ac:dyDescent="0.25">
      <c r="A133" s="42"/>
      <c r="B133" s="42"/>
      <c r="C133" s="42"/>
      <c r="D133" s="84"/>
      <c r="E133" s="75"/>
      <c r="F133" s="76"/>
      <c r="G133" s="78"/>
      <c r="H133" s="77"/>
      <c r="I133" s="77"/>
      <c r="J133" s="109"/>
      <c r="K133" s="126"/>
      <c r="L133" s="116"/>
      <c r="M133" s="110"/>
      <c r="N133" s="65"/>
      <c r="O133" s="173"/>
      <c r="P133" s="6"/>
      <c r="Q133" s="146"/>
      <c r="R133" s="93"/>
      <c r="S133" s="97"/>
      <c r="T133" s="90"/>
      <c r="U133" s="90"/>
      <c r="V133" s="91"/>
      <c r="W133" s="25"/>
    </row>
    <row r="134" spans="1:23" x14ac:dyDescent="0.25">
      <c r="A134" s="42"/>
      <c r="B134" s="42"/>
      <c r="C134" s="42"/>
      <c r="D134" s="84"/>
      <c r="E134" s="75"/>
      <c r="F134" s="76"/>
      <c r="G134" s="73"/>
      <c r="H134" s="77"/>
      <c r="I134" s="77"/>
      <c r="J134" s="109"/>
      <c r="K134" s="126"/>
      <c r="L134" s="116"/>
      <c r="M134" s="110"/>
      <c r="N134" s="65"/>
      <c r="O134" s="173"/>
      <c r="P134" s="6"/>
      <c r="Q134" s="146"/>
      <c r="R134" s="93"/>
      <c r="S134" s="97"/>
      <c r="T134" s="90"/>
      <c r="U134" s="90"/>
      <c r="V134" s="91"/>
      <c r="W134" s="25"/>
    </row>
    <row r="135" spans="1:23" x14ac:dyDescent="0.25">
      <c r="A135" s="42"/>
      <c r="B135" s="42"/>
      <c r="C135" s="42"/>
      <c r="D135" s="84"/>
      <c r="E135" s="79"/>
      <c r="F135" s="74"/>
      <c r="G135" s="78"/>
      <c r="H135" s="77"/>
      <c r="I135" s="77"/>
      <c r="J135" s="109"/>
      <c r="K135" s="126"/>
      <c r="L135" s="116"/>
      <c r="M135" s="110"/>
      <c r="N135" s="65"/>
      <c r="O135" s="173"/>
      <c r="P135" s="6"/>
      <c r="Q135" s="146"/>
      <c r="R135" s="9"/>
      <c r="S135" s="97"/>
      <c r="T135" s="90"/>
      <c r="U135" s="90"/>
      <c r="V135" s="91"/>
      <c r="W135" s="25"/>
    </row>
    <row r="136" spans="1:23" x14ac:dyDescent="0.25">
      <c r="A136" s="42"/>
      <c r="B136" s="42"/>
      <c r="C136" s="42"/>
      <c r="D136" s="84"/>
      <c r="E136" s="79"/>
      <c r="F136" s="74"/>
      <c r="G136" s="79"/>
      <c r="H136" s="74"/>
      <c r="I136" s="77"/>
      <c r="J136" s="109"/>
      <c r="K136" s="126"/>
      <c r="L136" s="116"/>
      <c r="M136" s="110"/>
      <c r="N136" s="65"/>
      <c r="O136" s="173"/>
      <c r="P136" s="6"/>
      <c r="Q136" s="146"/>
      <c r="R136" s="9"/>
      <c r="S136" s="97"/>
      <c r="T136" s="90"/>
      <c r="U136" s="90"/>
      <c r="V136" s="91"/>
      <c r="W136" s="25"/>
    </row>
    <row r="137" spans="1:23" x14ac:dyDescent="0.25">
      <c r="A137" s="42"/>
      <c r="B137" s="42"/>
      <c r="C137" s="42"/>
      <c r="D137" s="84"/>
      <c r="E137" s="79"/>
      <c r="F137" s="74"/>
      <c r="G137" s="79"/>
      <c r="H137" s="74"/>
      <c r="I137" s="77"/>
      <c r="J137" s="109"/>
      <c r="K137" s="126"/>
      <c r="L137" s="116"/>
      <c r="M137" s="110"/>
      <c r="N137" s="65"/>
      <c r="O137" s="173"/>
      <c r="P137" s="6"/>
      <c r="Q137" s="16"/>
      <c r="R137" s="9"/>
      <c r="S137" s="97"/>
      <c r="T137" s="90"/>
      <c r="U137" s="90"/>
      <c r="V137" s="91"/>
      <c r="W137" s="25"/>
    </row>
    <row r="138" spans="1:23" x14ac:dyDescent="0.25">
      <c r="A138" s="42"/>
      <c r="B138" s="42"/>
      <c r="C138" s="42"/>
      <c r="D138" s="84"/>
      <c r="E138" s="79"/>
      <c r="F138" s="74"/>
      <c r="G138" s="78"/>
      <c r="H138" s="77"/>
      <c r="I138" s="77"/>
      <c r="J138" s="109"/>
      <c r="K138" s="126"/>
      <c r="L138" s="116"/>
      <c r="M138" s="115"/>
      <c r="N138" s="67"/>
      <c r="O138" s="130"/>
      <c r="P138" s="6"/>
      <c r="Q138" s="16"/>
      <c r="R138" s="9"/>
      <c r="S138" s="97"/>
      <c r="T138" s="90"/>
      <c r="U138" s="90"/>
      <c r="V138" s="91"/>
      <c r="W138" s="25"/>
    </row>
    <row r="139" spans="1:23" x14ac:dyDescent="0.25">
      <c r="A139" s="42"/>
      <c r="B139" s="42"/>
      <c r="C139" s="42"/>
      <c r="D139" s="84"/>
      <c r="E139" s="75"/>
      <c r="F139" s="76"/>
      <c r="G139" s="78"/>
      <c r="H139" s="77"/>
      <c r="I139" s="77"/>
      <c r="J139" s="109"/>
      <c r="K139" s="126"/>
      <c r="L139" s="116"/>
      <c r="M139" s="115"/>
      <c r="N139" s="67"/>
      <c r="O139" s="130"/>
      <c r="P139" s="6"/>
      <c r="Q139" s="146"/>
      <c r="R139" s="9"/>
      <c r="S139" s="97"/>
      <c r="T139" s="90"/>
      <c r="U139" s="90"/>
      <c r="V139" s="91"/>
      <c r="W139" s="25"/>
    </row>
    <row r="140" spans="1:23" x14ac:dyDescent="0.25">
      <c r="A140" s="42"/>
      <c r="B140" s="42"/>
      <c r="C140" s="42"/>
      <c r="D140" s="84"/>
      <c r="E140" s="75"/>
      <c r="F140" s="76"/>
      <c r="G140" s="79"/>
      <c r="H140" s="74"/>
      <c r="I140" s="77"/>
      <c r="J140" s="109"/>
      <c r="K140" s="126"/>
      <c r="L140" s="116"/>
      <c r="M140" s="115"/>
      <c r="N140" s="67"/>
      <c r="O140" s="130"/>
      <c r="P140" s="6"/>
      <c r="Q140" s="16"/>
      <c r="R140" s="9"/>
      <c r="S140" s="13"/>
      <c r="T140" s="90"/>
      <c r="U140" s="90"/>
      <c r="V140" s="91"/>
      <c r="W140" s="25"/>
    </row>
    <row r="141" spans="1:23" x14ac:dyDescent="0.25">
      <c r="A141" s="42"/>
      <c r="B141" s="42"/>
      <c r="C141" s="42"/>
      <c r="D141" s="84"/>
      <c r="E141" s="75"/>
      <c r="F141" s="76"/>
      <c r="G141" s="78"/>
      <c r="H141" s="77"/>
      <c r="I141" s="77"/>
      <c r="J141" s="109"/>
      <c r="K141" s="126"/>
      <c r="L141" s="116"/>
      <c r="M141" s="115"/>
      <c r="N141" s="67"/>
      <c r="O141" s="130"/>
      <c r="P141" s="6"/>
      <c r="Q141" s="16"/>
      <c r="R141" s="9"/>
      <c r="S141" s="97"/>
      <c r="T141" s="90"/>
      <c r="U141" s="90"/>
      <c r="V141" s="91"/>
      <c r="W141" s="25"/>
    </row>
    <row r="142" spans="1:23" x14ac:dyDescent="0.25">
      <c r="A142" s="42"/>
      <c r="B142" s="42"/>
      <c r="C142" s="42"/>
      <c r="D142" s="84"/>
      <c r="E142" s="75"/>
      <c r="F142" s="76"/>
      <c r="G142" s="79"/>
      <c r="H142" s="74"/>
      <c r="I142" s="77"/>
      <c r="J142" s="109"/>
      <c r="K142" s="126"/>
      <c r="L142" s="116"/>
      <c r="M142" s="115"/>
      <c r="N142" s="67"/>
      <c r="O142" s="130"/>
      <c r="P142" s="6"/>
      <c r="Q142" s="16"/>
      <c r="R142" s="8"/>
      <c r="S142" s="97"/>
      <c r="T142" s="90"/>
      <c r="U142" s="90"/>
      <c r="V142" s="91"/>
      <c r="W142" s="25"/>
    </row>
    <row r="143" spans="1:23" x14ac:dyDescent="0.25">
      <c r="A143" s="42"/>
      <c r="B143" s="42"/>
      <c r="C143" s="42"/>
      <c r="D143" s="84"/>
      <c r="E143" s="75"/>
      <c r="F143" s="76"/>
      <c r="G143" s="79"/>
      <c r="H143" s="74"/>
      <c r="I143" s="77"/>
      <c r="J143" s="109"/>
      <c r="K143" s="126"/>
      <c r="L143" s="116"/>
      <c r="M143" s="115"/>
      <c r="N143" s="67"/>
      <c r="O143" s="130"/>
      <c r="P143" s="6"/>
      <c r="Q143" s="16"/>
      <c r="R143" s="93"/>
      <c r="S143" s="97"/>
      <c r="T143" s="90"/>
      <c r="U143" s="90"/>
      <c r="V143" s="91"/>
      <c r="W143" s="25"/>
    </row>
    <row r="144" spans="1:23" x14ac:dyDescent="0.25">
      <c r="A144" s="42"/>
      <c r="B144" s="42"/>
      <c r="C144" s="42"/>
      <c r="D144" s="84"/>
      <c r="E144" s="75"/>
      <c r="F144" s="76"/>
      <c r="G144" s="78"/>
      <c r="H144" s="77"/>
      <c r="I144" s="77"/>
      <c r="J144" s="109"/>
      <c r="K144" s="126"/>
      <c r="L144" s="116"/>
      <c r="M144" s="110"/>
      <c r="N144" s="65"/>
      <c r="O144" s="173"/>
      <c r="P144" s="6"/>
      <c r="Q144" s="146"/>
      <c r="R144" s="8"/>
      <c r="S144" s="97"/>
      <c r="T144" s="90"/>
      <c r="U144" s="90"/>
      <c r="V144" s="91"/>
      <c r="W144" s="25"/>
    </row>
    <row r="145" spans="1:23" x14ac:dyDescent="0.25">
      <c r="A145" s="42"/>
      <c r="B145" s="42"/>
      <c r="C145" s="42"/>
      <c r="D145" s="84"/>
      <c r="E145" s="79"/>
      <c r="F145" s="74"/>
      <c r="G145" s="78"/>
      <c r="H145" s="77"/>
      <c r="I145" s="77"/>
      <c r="J145" s="109"/>
      <c r="K145" s="126"/>
      <c r="L145" s="116"/>
      <c r="M145" s="110"/>
      <c r="N145" s="65"/>
      <c r="O145" s="173"/>
      <c r="P145" s="6"/>
      <c r="Q145" s="146"/>
      <c r="R145" s="93"/>
      <c r="S145" s="13"/>
      <c r="T145" s="90"/>
      <c r="U145" s="90"/>
      <c r="V145" s="91"/>
      <c r="W145" s="25"/>
    </row>
    <row r="146" spans="1:23" x14ac:dyDescent="0.25">
      <c r="A146" s="42"/>
      <c r="B146" s="42"/>
      <c r="C146" s="42"/>
      <c r="D146" s="84"/>
      <c r="E146" s="79"/>
      <c r="F146" s="74"/>
      <c r="G146" s="78"/>
      <c r="H146" s="77"/>
      <c r="I146" s="77"/>
      <c r="J146" s="109"/>
      <c r="K146" s="126"/>
      <c r="L146" s="116"/>
      <c r="M146" s="115"/>
      <c r="N146" s="67"/>
      <c r="O146" s="130"/>
      <c r="P146" s="6"/>
      <c r="Q146" s="16"/>
      <c r="R146" s="9"/>
      <c r="S146" s="97"/>
      <c r="T146" s="90"/>
      <c r="U146" s="90"/>
      <c r="V146" s="91"/>
      <c r="W146" s="25"/>
    </row>
    <row r="147" spans="1:23" x14ac:dyDescent="0.25">
      <c r="A147" s="42"/>
      <c r="B147" s="42"/>
      <c r="C147" s="42"/>
      <c r="D147" s="84"/>
      <c r="E147" s="75"/>
      <c r="F147" s="76"/>
      <c r="G147" s="78"/>
      <c r="H147" s="77"/>
      <c r="I147" s="77"/>
      <c r="J147" s="109"/>
      <c r="K147" s="126"/>
      <c r="L147" s="116"/>
      <c r="M147" s="110"/>
      <c r="N147" s="65"/>
      <c r="O147" s="173"/>
      <c r="P147" s="6"/>
      <c r="Q147" s="146"/>
      <c r="R147" s="9"/>
      <c r="S147" s="97"/>
      <c r="T147" s="90"/>
      <c r="U147" s="90"/>
      <c r="V147" s="91"/>
      <c r="W147" s="25"/>
    </row>
    <row r="148" spans="1:23" x14ac:dyDescent="0.25">
      <c r="A148" s="42"/>
      <c r="B148" s="42"/>
      <c r="C148" s="42"/>
      <c r="D148" s="84"/>
      <c r="E148" s="79"/>
      <c r="F148" s="74"/>
      <c r="G148" s="78"/>
      <c r="H148" s="77"/>
      <c r="I148" s="77"/>
      <c r="J148" s="109"/>
      <c r="K148" s="126"/>
      <c r="L148" s="116"/>
      <c r="M148" s="115"/>
      <c r="N148" s="67"/>
      <c r="O148" s="173"/>
      <c r="P148" s="6"/>
      <c r="Q148" s="146"/>
      <c r="R148" s="8"/>
      <c r="S148" s="97"/>
      <c r="T148" s="90"/>
      <c r="U148" s="90"/>
      <c r="V148" s="91"/>
      <c r="W148" s="25"/>
    </row>
    <row r="149" spans="1:23" x14ac:dyDescent="0.25">
      <c r="A149" s="42"/>
      <c r="B149" s="42"/>
      <c r="C149" s="42"/>
      <c r="D149" s="84"/>
      <c r="E149" s="75"/>
      <c r="F149" s="76"/>
      <c r="G149" s="79"/>
      <c r="H149" s="74"/>
      <c r="I149" s="74"/>
      <c r="J149" s="105"/>
      <c r="K149" s="126"/>
      <c r="L149" s="117"/>
      <c r="M149" s="115"/>
      <c r="N149" s="67"/>
      <c r="O149" s="130"/>
      <c r="P149" s="6"/>
      <c r="Q149" s="16"/>
      <c r="R149" s="8"/>
      <c r="S149" s="97"/>
      <c r="T149" s="90"/>
      <c r="U149" s="90"/>
      <c r="V149" s="91"/>
      <c r="W149" s="25"/>
    </row>
    <row r="150" spans="1:23" x14ac:dyDescent="0.25">
      <c r="A150" s="42"/>
      <c r="B150" s="42"/>
      <c r="C150" s="42"/>
      <c r="D150" s="84"/>
      <c r="E150" s="75"/>
      <c r="F150" s="76"/>
      <c r="G150" s="75"/>
      <c r="H150" s="76"/>
      <c r="I150" s="77"/>
      <c r="J150" s="109"/>
      <c r="K150" s="126"/>
      <c r="L150" s="116"/>
      <c r="M150" s="115"/>
      <c r="N150" s="67"/>
      <c r="O150" s="130"/>
      <c r="P150" s="6"/>
      <c r="Q150" s="16"/>
      <c r="R150" s="8"/>
      <c r="S150" s="13"/>
      <c r="T150" s="90"/>
      <c r="U150" s="90"/>
      <c r="V150" s="91"/>
      <c r="W150" s="25"/>
    </row>
    <row r="151" spans="1:23" x14ac:dyDescent="0.25">
      <c r="A151" s="42"/>
      <c r="B151" s="42"/>
      <c r="C151" s="42"/>
      <c r="D151" s="84"/>
      <c r="E151" s="75"/>
      <c r="F151" s="76"/>
      <c r="G151" s="75"/>
      <c r="H151" s="76"/>
      <c r="I151" s="77"/>
      <c r="J151" s="109"/>
      <c r="K151" s="126"/>
      <c r="L151" s="116"/>
      <c r="M151" s="115"/>
      <c r="N151" s="67"/>
      <c r="O151" s="130"/>
      <c r="P151" s="6"/>
      <c r="Q151" s="16"/>
      <c r="R151" s="9"/>
      <c r="S151" s="13"/>
      <c r="T151" s="90"/>
      <c r="U151" s="90"/>
      <c r="V151" s="91"/>
      <c r="W151" s="25"/>
    </row>
    <row r="152" spans="1:23" x14ac:dyDescent="0.25">
      <c r="A152" s="42"/>
      <c r="B152" s="42"/>
      <c r="C152" s="42"/>
      <c r="D152" s="84"/>
      <c r="E152" s="75"/>
      <c r="F152" s="76"/>
      <c r="G152" s="78"/>
      <c r="H152" s="77"/>
      <c r="I152" s="77"/>
      <c r="J152" s="109"/>
      <c r="K152" s="126"/>
      <c r="L152" s="116"/>
      <c r="M152" s="115"/>
      <c r="N152" s="67"/>
      <c r="O152" s="173"/>
      <c r="P152" s="6"/>
      <c r="Q152" s="16"/>
      <c r="R152" s="9"/>
      <c r="S152" s="13"/>
      <c r="T152" s="90"/>
      <c r="U152" s="90"/>
      <c r="V152" s="91"/>
      <c r="W152" s="25"/>
    </row>
    <row r="153" spans="1:23" x14ac:dyDescent="0.25">
      <c r="A153" s="42"/>
      <c r="B153" s="42"/>
      <c r="C153" s="42"/>
      <c r="D153" s="84"/>
      <c r="E153" s="75"/>
      <c r="F153" s="76"/>
      <c r="G153" s="78"/>
      <c r="H153" s="77"/>
      <c r="I153" s="77"/>
      <c r="J153" s="109"/>
      <c r="K153" s="126"/>
      <c r="L153" s="116"/>
      <c r="M153" s="115"/>
      <c r="N153" s="67"/>
      <c r="O153" s="173"/>
      <c r="P153" s="6"/>
      <c r="Q153" s="16"/>
      <c r="R153" s="93"/>
      <c r="S153" s="13"/>
      <c r="T153" s="90"/>
      <c r="U153" s="90"/>
      <c r="V153" s="91"/>
      <c r="W153" s="25"/>
    </row>
    <row r="154" spans="1:23" x14ac:dyDescent="0.25">
      <c r="A154" s="42"/>
      <c r="B154" s="42"/>
      <c r="C154" s="42"/>
      <c r="D154" s="84"/>
      <c r="E154" s="75"/>
      <c r="F154" s="76"/>
      <c r="G154" s="79"/>
      <c r="H154" s="74"/>
      <c r="I154" s="74"/>
      <c r="J154" s="105"/>
      <c r="K154" s="126"/>
      <c r="L154" s="117"/>
      <c r="M154" s="114"/>
      <c r="N154" s="66"/>
      <c r="O154" s="127"/>
      <c r="P154" s="6"/>
      <c r="Q154" s="16"/>
      <c r="R154" s="93"/>
      <c r="S154" s="97"/>
      <c r="T154" s="90"/>
      <c r="U154" s="90"/>
      <c r="V154" s="91"/>
      <c r="W154" s="25"/>
    </row>
    <row r="155" spans="1:23" x14ac:dyDescent="0.25">
      <c r="A155" s="42"/>
      <c r="B155" s="42"/>
      <c r="C155" s="42"/>
      <c r="D155" s="84"/>
      <c r="E155" s="75"/>
      <c r="F155" s="76"/>
      <c r="G155" s="75"/>
      <c r="H155" s="76"/>
      <c r="I155" s="77"/>
      <c r="J155" s="109"/>
      <c r="K155" s="126"/>
      <c r="L155" s="116"/>
      <c r="M155" s="114"/>
      <c r="N155" s="66"/>
      <c r="O155" s="127"/>
      <c r="P155" s="6"/>
      <c r="Q155" s="146"/>
      <c r="R155" s="8"/>
      <c r="S155" s="13"/>
      <c r="T155" s="90"/>
      <c r="U155" s="90"/>
      <c r="V155" s="91"/>
      <c r="W155" s="25"/>
    </row>
    <row r="156" spans="1:23" x14ac:dyDescent="0.25">
      <c r="A156" s="42"/>
      <c r="B156" s="42"/>
      <c r="C156" s="42"/>
      <c r="D156" s="84"/>
      <c r="E156" s="75"/>
      <c r="F156" s="76"/>
      <c r="G156" s="79"/>
      <c r="H156" s="74"/>
      <c r="I156" s="74"/>
      <c r="J156" s="105"/>
      <c r="K156" s="126"/>
      <c r="L156" s="117"/>
      <c r="M156" s="114"/>
      <c r="N156" s="66"/>
      <c r="O156" s="127"/>
      <c r="P156" s="6"/>
      <c r="Q156" s="16"/>
      <c r="R156" s="9"/>
      <c r="S156" s="13"/>
      <c r="T156" s="90"/>
      <c r="U156" s="90"/>
      <c r="V156" s="91"/>
      <c r="W156" s="25"/>
    </row>
    <row r="157" spans="1:23" x14ac:dyDescent="0.25">
      <c r="A157" s="42"/>
      <c r="B157" s="42"/>
      <c r="C157" s="42"/>
      <c r="D157" s="84"/>
      <c r="E157" s="75"/>
      <c r="F157" s="76"/>
      <c r="G157" s="75"/>
      <c r="H157" s="76"/>
      <c r="I157" s="75"/>
      <c r="J157" s="111"/>
      <c r="K157" s="126"/>
      <c r="L157" s="118"/>
      <c r="M157" s="115"/>
      <c r="N157" s="67"/>
      <c r="O157" s="173"/>
      <c r="P157" s="6"/>
      <c r="Q157" s="16"/>
      <c r="R157" s="8"/>
      <c r="S157" s="13"/>
      <c r="T157" s="90"/>
      <c r="U157" s="90"/>
      <c r="V157" s="91"/>
      <c r="W157" s="25"/>
    </row>
    <row r="158" spans="1:23" x14ac:dyDescent="0.25">
      <c r="A158" s="42"/>
      <c r="B158" s="42"/>
      <c r="C158" s="42"/>
      <c r="D158" s="84"/>
      <c r="E158" s="75"/>
      <c r="F158" s="76"/>
      <c r="G158" s="79"/>
      <c r="H158" s="74"/>
      <c r="I158" s="74"/>
      <c r="J158" s="105"/>
      <c r="K158" s="126"/>
      <c r="L158" s="117"/>
      <c r="M158" s="115"/>
      <c r="N158" s="67"/>
      <c r="O158" s="130"/>
      <c r="P158" s="6"/>
      <c r="Q158" s="16"/>
      <c r="R158" s="93"/>
      <c r="S158" s="13"/>
      <c r="T158" s="90"/>
      <c r="U158" s="90"/>
      <c r="V158" s="91"/>
      <c r="W158" s="25"/>
    </row>
    <row r="159" spans="1:23" x14ac:dyDescent="0.25">
      <c r="A159" s="42"/>
      <c r="B159" s="42"/>
      <c r="C159" s="42"/>
      <c r="D159" s="84"/>
      <c r="E159" s="75"/>
      <c r="F159" s="76"/>
      <c r="G159" s="78"/>
      <c r="H159" s="77"/>
      <c r="I159" s="77"/>
      <c r="J159" s="109"/>
      <c r="K159" s="126"/>
      <c r="L159" s="116"/>
      <c r="M159" s="115"/>
      <c r="N159" s="67"/>
      <c r="O159" s="130"/>
      <c r="P159" s="6"/>
      <c r="Q159" s="16"/>
      <c r="R159" s="8"/>
      <c r="S159" s="97"/>
      <c r="T159" s="90"/>
      <c r="U159" s="90"/>
      <c r="V159" s="91"/>
      <c r="W159" s="25"/>
    </row>
    <row r="160" spans="1:23" x14ac:dyDescent="0.25">
      <c r="A160" s="42"/>
      <c r="B160" s="42"/>
      <c r="C160" s="42"/>
      <c r="D160" s="84"/>
      <c r="E160" s="75"/>
      <c r="F160" s="76"/>
      <c r="G160" s="78"/>
      <c r="H160" s="77"/>
      <c r="I160" s="77"/>
      <c r="J160" s="109"/>
      <c r="K160" s="126"/>
      <c r="L160" s="116"/>
      <c r="M160" s="115"/>
      <c r="N160" s="67"/>
      <c r="O160" s="130"/>
      <c r="P160" s="6"/>
      <c r="Q160" s="16"/>
      <c r="R160" s="93"/>
      <c r="S160" s="97"/>
      <c r="T160" s="90"/>
      <c r="U160" s="90"/>
      <c r="V160" s="91"/>
      <c r="W160" s="25"/>
    </row>
    <row r="161" spans="1:23" x14ac:dyDescent="0.25">
      <c r="A161" s="42"/>
      <c r="B161" s="42"/>
      <c r="C161" s="42"/>
      <c r="D161" s="84"/>
      <c r="E161" s="75"/>
      <c r="F161" s="76"/>
      <c r="G161" s="75"/>
      <c r="H161" s="76"/>
      <c r="I161" s="77"/>
      <c r="J161" s="109"/>
      <c r="K161" s="126"/>
      <c r="L161" s="116"/>
      <c r="M161" s="115"/>
      <c r="N161" s="67"/>
      <c r="O161" s="173"/>
      <c r="P161" s="6"/>
      <c r="Q161" s="16"/>
      <c r="R161" s="9"/>
      <c r="S161" s="97"/>
      <c r="T161" s="90"/>
      <c r="U161" s="90"/>
      <c r="V161" s="91"/>
      <c r="W161" s="25"/>
    </row>
    <row r="162" spans="1:23" x14ac:dyDescent="0.25">
      <c r="A162" s="42"/>
      <c r="B162" s="42"/>
      <c r="C162" s="42"/>
      <c r="D162" s="84"/>
      <c r="E162" s="75"/>
      <c r="F162" s="76"/>
      <c r="G162" s="79"/>
      <c r="H162" s="74"/>
      <c r="I162" s="74"/>
      <c r="J162" s="105"/>
      <c r="K162" s="126"/>
      <c r="L162" s="117"/>
      <c r="M162" s="115"/>
      <c r="N162" s="67"/>
      <c r="O162" s="173"/>
      <c r="P162" s="6"/>
      <c r="Q162" s="146"/>
      <c r="R162" s="93"/>
      <c r="S162" s="13"/>
      <c r="T162" s="90"/>
      <c r="U162" s="90"/>
      <c r="V162" s="91"/>
      <c r="W162" s="25"/>
    </row>
    <row r="163" spans="1:23" x14ac:dyDescent="0.25">
      <c r="A163" s="42"/>
      <c r="B163" s="42"/>
      <c r="C163" s="42"/>
      <c r="D163" s="84"/>
      <c r="E163" s="75"/>
      <c r="F163" s="76"/>
      <c r="G163" s="78"/>
      <c r="H163" s="77"/>
      <c r="I163" s="77"/>
      <c r="J163" s="109"/>
      <c r="K163" s="126"/>
      <c r="L163" s="116"/>
      <c r="M163" s="115"/>
      <c r="N163" s="67"/>
      <c r="O163" s="130"/>
      <c r="P163" s="6"/>
      <c r="Q163" s="16"/>
      <c r="R163" s="8"/>
      <c r="S163" s="97"/>
      <c r="T163" s="90"/>
      <c r="U163" s="90"/>
      <c r="V163" s="91"/>
      <c r="W163" s="25"/>
    </row>
    <row r="164" spans="1:23" x14ac:dyDescent="0.25">
      <c r="A164" s="42"/>
      <c r="B164" s="42"/>
      <c r="C164" s="42"/>
      <c r="D164" s="84"/>
      <c r="E164" s="75"/>
      <c r="F164" s="76"/>
      <c r="G164" s="78"/>
      <c r="H164" s="77"/>
      <c r="I164" s="77"/>
      <c r="J164" s="109"/>
      <c r="K164" s="126"/>
      <c r="L164" s="116"/>
      <c r="M164" s="115"/>
      <c r="N164" s="67"/>
      <c r="O164" s="130"/>
      <c r="P164" s="6"/>
      <c r="Q164" s="16"/>
      <c r="R164" s="93"/>
      <c r="S164" s="13"/>
      <c r="T164" s="90"/>
      <c r="U164" s="90"/>
      <c r="V164" s="91"/>
      <c r="W164" s="25"/>
    </row>
    <row r="165" spans="1:23" x14ac:dyDescent="0.25">
      <c r="A165" s="42"/>
      <c r="B165" s="42"/>
      <c r="C165" s="42"/>
      <c r="D165" s="84"/>
      <c r="E165" s="75"/>
      <c r="F165" s="76"/>
      <c r="G165" s="78"/>
      <c r="H165" s="77"/>
      <c r="I165" s="77"/>
      <c r="J165" s="109"/>
      <c r="K165" s="126"/>
      <c r="L165" s="116"/>
      <c r="M165" s="115"/>
      <c r="N165" s="67"/>
      <c r="O165" s="173"/>
      <c r="P165" s="6"/>
      <c r="Q165" s="146"/>
      <c r="R165" s="93"/>
      <c r="S165" s="97"/>
      <c r="T165" s="90"/>
      <c r="U165" s="90"/>
      <c r="V165" s="91"/>
      <c r="W165" s="25"/>
    </row>
    <row r="166" spans="1:23" x14ac:dyDescent="0.25">
      <c r="A166" s="42"/>
      <c r="B166" s="42"/>
      <c r="C166" s="42"/>
      <c r="D166" s="84"/>
      <c r="E166" s="75"/>
      <c r="F166" s="76"/>
      <c r="G166" s="78"/>
      <c r="H166" s="77"/>
      <c r="I166" s="77"/>
      <c r="J166" s="109"/>
      <c r="K166" s="126"/>
      <c r="L166" s="116"/>
      <c r="M166" s="115"/>
      <c r="N166" s="67"/>
      <c r="O166" s="130"/>
      <c r="P166" s="6"/>
      <c r="Q166" s="146"/>
      <c r="R166" s="9"/>
      <c r="S166" s="97"/>
      <c r="T166" s="90"/>
      <c r="U166" s="90"/>
      <c r="V166" s="91"/>
      <c r="W166" s="25"/>
    </row>
    <row r="167" spans="1:23" x14ac:dyDescent="0.25">
      <c r="A167" s="42"/>
      <c r="B167" s="42"/>
      <c r="C167" s="42"/>
      <c r="D167" s="84"/>
      <c r="E167" s="75"/>
      <c r="F167" s="76"/>
      <c r="G167" s="78"/>
      <c r="H167" s="77"/>
      <c r="I167" s="77"/>
      <c r="J167" s="109"/>
      <c r="K167" s="126"/>
      <c r="L167" s="116"/>
      <c r="M167" s="115"/>
      <c r="N167" s="67"/>
      <c r="O167" s="130"/>
      <c r="P167" s="6"/>
      <c r="Q167" s="16"/>
      <c r="R167" s="9"/>
      <c r="S167" s="13"/>
      <c r="T167" s="90"/>
      <c r="U167" s="90"/>
      <c r="V167" s="91"/>
      <c r="W167" s="25"/>
    </row>
    <row r="168" spans="1:23" x14ac:dyDescent="0.25">
      <c r="A168" s="42"/>
      <c r="B168" s="42"/>
      <c r="C168" s="42"/>
      <c r="D168" s="84"/>
      <c r="E168" s="75"/>
      <c r="F168" s="76"/>
      <c r="G168" s="78"/>
      <c r="H168" s="77"/>
      <c r="I168" s="77"/>
      <c r="J168" s="109"/>
      <c r="K168" s="126"/>
      <c r="L168" s="116"/>
      <c r="M168" s="115"/>
      <c r="N168" s="67"/>
      <c r="O168" s="130"/>
      <c r="P168" s="6"/>
      <c r="Q168" s="16"/>
      <c r="R168" s="9"/>
      <c r="S168" s="97"/>
      <c r="T168" s="90"/>
      <c r="U168" s="90"/>
      <c r="V168" s="91"/>
      <c r="W168" s="25"/>
    </row>
    <row r="169" spans="1:23" x14ac:dyDescent="0.25">
      <c r="A169" s="42"/>
      <c r="B169" s="42"/>
      <c r="C169" s="42"/>
      <c r="D169" s="84"/>
      <c r="E169" s="75"/>
      <c r="F169" s="76"/>
      <c r="G169" s="79"/>
      <c r="H169" s="74"/>
      <c r="I169" s="74"/>
      <c r="J169" s="105"/>
      <c r="K169" s="126"/>
      <c r="L169" s="117"/>
      <c r="M169" s="115"/>
      <c r="N169" s="67"/>
      <c r="O169" s="130"/>
      <c r="P169" s="6"/>
      <c r="Q169" s="16"/>
      <c r="R169" s="9"/>
      <c r="S169" s="13"/>
      <c r="T169" s="90"/>
      <c r="U169" s="90"/>
      <c r="V169" s="91"/>
      <c r="W169" s="25"/>
    </row>
    <row r="170" spans="1:23" x14ac:dyDescent="0.25">
      <c r="A170" s="42"/>
      <c r="B170" s="42"/>
      <c r="C170" s="42"/>
      <c r="D170" s="84"/>
      <c r="E170" s="75"/>
      <c r="F170" s="76"/>
      <c r="G170" s="78"/>
      <c r="H170" s="77"/>
      <c r="I170" s="77"/>
      <c r="J170" s="109"/>
      <c r="K170" s="126"/>
      <c r="L170" s="116"/>
      <c r="M170" s="115"/>
      <c r="N170" s="67"/>
      <c r="O170" s="130"/>
      <c r="P170" s="6"/>
      <c r="Q170" s="16"/>
      <c r="R170" s="9"/>
      <c r="S170" s="13"/>
      <c r="T170" s="90"/>
      <c r="U170" s="90"/>
      <c r="V170" s="91"/>
      <c r="W170" s="25"/>
    </row>
    <row r="171" spans="1:23" x14ac:dyDescent="0.25">
      <c r="A171" s="42"/>
      <c r="B171" s="42"/>
      <c r="C171" s="42"/>
      <c r="D171" s="84"/>
      <c r="E171" s="75"/>
      <c r="F171" s="76"/>
      <c r="G171" s="78"/>
      <c r="H171" s="77"/>
      <c r="I171" s="77"/>
      <c r="J171" s="109"/>
      <c r="K171" s="126"/>
      <c r="L171" s="116"/>
      <c r="M171" s="115"/>
      <c r="N171" s="67"/>
      <c r="O171" s="130"/>
      <c r="P171" s="6"/>
      <c r="Q171" s="16"/>
      <c r="R171" s="93"/>
      <c r="S171" s="97"/>
      <c r="T171" s="90"/>
      <c r="U171" s="90"/>
      <c r="V171" s="91"/>
      <c r="W171" s="25"/>
    </row>
    <row r="172" spans="1:23" x14ac:dyDescent="0.25">
      <c r="A172" s="42"/>
      <c r="B172" s="42"/>
      <c r="C172" s="42"/>
      <c r="D172" s="84"/>
      <c r="E172" s="79"/>
      <c r="F172" s="74"/>
      <c r="G172" s="79"/>
      <c r="H172" s="74"/>
      <c r="I172" s="74"/>
      <c r="J172" s="105"/>
      <c r="K172" s="126"/>
      <c r="L172" s="117"/>
      <c r="M172" s="115"/>
      <c r="N172" s="67"/>
      <c r="O172" s="130"/>
      <c r="P172" s="6"/>
      <c r="Q172" s="146"/>
      <c r="R172" s="8"/>
      <c r="S172" s="13"/>
      <c r="T172" s="90"/>
      <c r="U172" s="90"/>
      <c r="V172" s="91"/>
      <c r="W172" s="25"/>
    </row>
    <row r="173" spans="1:23" x14ac:dyDescent="0.25">
      <c r="A173" s="42"/>
      <c r="B173" s="42"/>
      <c r="C173" s="42"/>
      <c r="D173" s="84"/>
      <c r="E173" s="75"/>
      <c r="F173" s="76"/>
      <c r="G173" s="78"/>
      <c r="H173" s="77"/>
      <c r="I173" s="77"/>
      <c r="J173" s="109"/>
      <c r="K173" s="126"/>
      <c r="L173" s="116"/>
      <c r="M173" s="115"/>
      <c r="N173" s="67"/>
      <c r="O173" s="130"/>
      <c r="P173" s="6"/>
      <c r="Q173" s="16"/>
      <c r="R173" s="9"/>
      <c r="S173" s="13"/>
      <c r="T173" s="90"/>
      <c r="U173" s="90"/>
      <c r="V173" s="91"/>
      <c r="W173" s="25"/>
    </row>
    <row r="174" spans="1:23" x14ac:dyDescent="0.25">
      <c r="A174" s="42"/>
      <c r="B174" s="42"/>
      <c r="C174" s="42"/>
      <c r="D174" s="84"/>
      <c r="E174" s="75"/>
      <c r="F174" s="76"/>
      <c r="G174" s="75"/>
      <c r="H174" s="76"/>
      <c r="I174" s="77"/>
      <c r="J174" s="109"/>
      <c r="K174" s="126"/>
      <c r="L174" s="116"/>
      <c r="M174" s="115"/>
      <c r="N174" s="67"/>
      <c r="O174" s="173"/>
      <c r="P174" s="6"/>
      <c r="Q174" s="146"/>
      <c r="R174" s="8"/>
      <c r="S174" s="97"/>
      <c r="T174" s="90"/>
      <c r="U174" s="90"/>
      <c r="V174" s="91"/>
      <c r="W174" s="25"/>
    </row>
    <row r="175" spans="1:23" x14ac:dyDescent="0.25">
      <c r="A175" s="42"/>
      <c r="B175" s="42"/>
      <c r="C175" s="42"/>
      <c r="D175" s="84"/>
      <c r="E175" s="75"/>
      <c r="F175" s="76"/>
      <c r="G175" s="78"/>
      <c r="H175" s="77"/>
      <c r="I175" s="77"/>
      <c r="J175" s="109"/>
      <c r="K175" s="126"/>
      <c r="L175" s="116"/>
      <c r="M175" s="115"/>
      <c r="N175" s="67"/>
      <c r="O175" s="130"/>
      <c r="P175" s="6"/>
      <c r="Q175" s="16"/>
      <c r="R175" s="9"/>
      <c r="S175" s="13"/>
      <c r="T175" s="90"/>
      <c r="U175" s="90"/>
      <c r="V175" s="91"/>
      <c r="W175" s="25"/>
    </row>
    <row r="176" spans="1:23" x14ac:dyDescent="0.25">
      <c r="A176" s="42"/>
      <c r="B176" s="42"/>
      <c r="C176" s="42"/>
      <c r="D176" s="84"/>
      <c r="E176" s="75"/>
      <c r="F176" s="76"/>
      <c r="G176" s="79"/>
      <c r="H176" s="74"/>
      <c r="I176" s="74"/>
      <c r="J176" s="105"/>
      <c r="K176" s="126"/>
      <c r="L176" s="117"/>
      <c r="M176" s="115"/>
      <c r="N176" s="67"/>
      <c r="O176" s="130"/>
      <c r="P176" s="6"/>
      <c r="Q176" s="146"/>
      <c r="R176" s="8"/>
      <c r="S176" s="97"/>
      <c r="T176" s="90"/>
      <c r="U176" s="90"/>
      <c r="V176" s="91"/>
      <c r="W176" s="25"/>
    </row>
    <row r="177" spans="1:23" x14ac:dyDescent="0.25">
      <c r="A177" s="42"/>
      <c r="B177" s="42"/>
      <c r="C177" s="42"/>
      <c r="D177" s="84"/>
      <c r="E177" s="75"/>
      <c r="F177" s="76"/>
      <c r="G177" s="79"/>
      <c r="H177" s="74"/>
      <c r="I177" s="74"/>
      <c r="J177" s="105"/>
      <c r="K177" s="126"/>
      <c r="L177" s="117"/>
      <c r="M177" s="115"/>
      <c r="N177" s="67"/>
      <c r="O177" s="130"/>
      <c r="P177" s="6"/>
      <c r="Q177" s="16"/>
      <c r="R177" s="93"/>
      <c r="S177" s="13"/>
      <c r="T177" s="90"/>
      <c r="U177" s="90"/>
      <c r="V177" s="91"/>
      <c r="W177" s="25"/>
    </row>
    <row r="178" spans="1:23" x14ac:dyDescent="0.25">
      <c r="A178" s="42"/>
      <c r="B178" s="42"/>
      <c r="C178" s="42"/>
      <c r="D178" s="84"/>
      <c r="E178" s="75"/>
      <c r="F178" s="76"/>
      <c r="G178" s="78"/>
      <c r="H178" s="77"/>
      <c r="I178" s="77"/>
      <c r="J178" s="109"/>
      <c r="K178" s="126"/>
      <c r="L178" s="116"/>
      <c r="M178" s="110"/>
      <c r="N178" s="65"/>
      <c r="O178" s="173"/>
      <c r="P178" s="6"/>
      <c r="Q178" s="16"/>
      <c r="R178" s="9"/>
      <c r="S178" s="13"/>
      <c r="T178" s="90"/>
      <c r="U178" s="90"/>
      <c r="V178" s="91"/>
      <c r="W178" s="25"/>
    </row>
    <row r="179" spans="1:23" x14ac:dyDescent="0.25">
      <c r="A179" s="42"/>
      <c r="B179" s="42"/>
      <c r="C179" s="42"/>
      <c r="D179" s="84"/>
      <c r="E179" s="79"/>
      <c r="F179" s="74"/>
      <c r="G179" s="79"/>
      <c r="H179" s="74"/>
      <c r="I179" s="74"/>
      <c r="J179" s="105"/>
      <c r="K179" s="126"/>
      <c r="L179" s="117"/>
      <c r="M179" s="115"/>
      <c r="N179" s="67"/>
      <c r="O179" s="173"/>
      <c r="P179" s="6"/>
      <c r="Q179" s="16"/>
      <c r="R179" s="9"/>
      <c r="S179" s="97"/>
      <c r="T179" s="90"/>
      <c r="U179" s="90"/>
      <c r="V179" s="91"/>
      <c r="W179" s="25"/>
    </row>
    <row r="180" spans="1:23" x14ac:dyDescent="0.25">
      <c r="A180" s="42"/>
      <c r="B180" s="42"/>
      <c r="C180" s="42"/>
      <c r="D180" s="84"/>
      <c r="E180" s="75"/>
      <c r="F180" s="76"/>
      <c r="G180" s="78"/>
      <c r="H180" s="77"/>
      <c r="I180" s="77"/>
      <c r="J180" s="109"/>
      <c r="K180" s="126"/>
      <c r="L180" s="116"/>
      <c r="M180" s="114"/>
      <c r="N180" s="66"/>
      <c r="O180" s="127"/>
      <c r="P180" s="6"/>
      <c r="Q180" s="16"/>
      <c r="R180" s="9"/>
      <c r="S180" s="97"/>
      <c r="T180" s="90"/>
      <c r="U180" s="90"/>
      <c r="V180" s="91"/>
      <c r="W180" s="25"/>
    </row>
    <row r="181" spans="1:23" x14ac:dyDescent="0.25">
      <c r="A181" s="42"/>
      <c r="B181" s="42"/>
      <c r="C181" s="42"/>
      <c r="D181" s="84"/>
      <c r="E181" s="75"/>
      <c r="F181" s="76"/>
      <c r="G181" s="75"/>
      <c r="H181" s="76"/>
      <c r="I181" s="77"/>
      <c r="J181" s="109"/>
      <c r="K181" s="126"/>
      <c r="L181" s="116"/>
      <c r="M181" s="114"/>
      <c r="N181" s="66"/>
      <c r="O181" s="127"/>
      <c r="P181" s="6"/>
      <c r="Q181" s="16"/>
      <c r="R181" s="93"/>
      <c r="S181" s="13"/>
      <c r="T181" s="90"/>
      <c r="U181" s="90"/>
      <c r="V181" s="91"/>
      <c r="W181" s="25"/>
    </row>
    <row r="182" spans="1:23" x14ac:dyDescent="0.25">
      <c r="A182" s="42"/>
      <c r="B182" s="42"/>
      <c r="C182" s="42"/>
      <c r="D182" s="84"/>
      <c r="E182" s="75"/>
      <c r="F182" s="76"/>
      <c r="G182" s="78"/>
      <c r="H182" s="77"/>
      <c r="I182" s="77"/>
      <c r="J182" s="109"/>
      <c r="K182" s="126"/>
      <c r="L182" s="116"/>
      <c r="M182" s="114"/>
      <c r="N182" s="66"/>
      <c r="O182" s="127"/>
      <c r="P182" s="6"/>
      <c r="Q182" s="146"/>
      <c r="R182" s="93"/>
      <c r="S182" s="13"/>
      <c r="T182" s="90"/>
      <c r="U182" s="90"/>
      <c r="V182" s="91"/>
      <c r="W182" s="25"/>
    </row>
    <row r="183" spans="1:23" x14ac:dyDescent="0.25">
      <c r="A183" s="42"/>
      <c r="B183" s="42"/>
      <c r="C183" s="42"/>
      <c r="D183" s="84"/>
      <c r="E183" s="75"/>
      <c r="F183" s="76"/>
      <c r="G183" s="78"/>
      <c r="H183" s="77"/>
      <c r="I183" s="77"/>
      <c r="J183" s="109"/>
      <c r="K183" s="126"/>
      <c r="L183" s="116"/>
      <c r="M183" s="114"/>
      <c r="N183" s="66"/>
      <c r="O183" s="127"/>
      <c r="P183" s="6"/>
      <c r="Q183" s="16"/>
      <c r="R183" s="9"/>
      <c r="S183" s="13"/>
      <c r="T183" s="90"/>
      <c r="U183" s="90"/>
      <c r="V183" s="91"/>
      <c r="W183" s="25"/>
    </row>
    <row r="184" spans="1:23" x14ac:dyDescent="0.25">
      <c r="A184" s="42"/>
      <c r="B184" s="42"/>
      <c r="C184" s="42"/>
      <c r="D184" s="84"/>
      <c r="E184" s="75"/>
      <c r="F184" s="76"/>
      <c r="G184" s="78"/>
      <c r="H184" s="77"/>
      <c r="I184" s="77"/>
      <c r="J184" s="109"/>
      <c r="K184" s="126"/>
      <c r="L184" s="116"/>
      <c r="M184" s="110"/>
      <c r="N184" s="65"/>
      <c r="O184" s="173"/>
      <c r="P184" s="6"/>
      <c r="Q184" s="16"/>
      <c r="R184" s="8"/>
      <c r="S184" s="13"/>
      <c r="T184" s="90"/>
      <c r="U184" s="90"/>
      <c r="V184" s="91"/>
      <c r="W184" s="25"/>
    </row>
    <row r="185" spans="1:23" x14ac:dyDescent="0.25">
      <c r="A185" s="42"/>
      <c r="B185" s="42"/>
      <c r="C185" s="42"/>
      <c r="D185" s="84"/>
      <c r="E185" s="79"/>
      <c r="F185" s="74"/>
      <c r="G185" s="79"/>
      <c r="H185" s="74"/>
      <c r="I185" s="74"/>
      <c r="J185" s="105"/>
      <c r="K185" s="126"/>
      <c r="L185" s="117"/>
      <c r="M185" s="115"/>
      <c r="N185" s="67"/>
      <c r="O185" s="130"/>
      <c r="P185" s="6"/>
      <c r="Q185" s="16"/>
      <c r="R185" s="93"/>
      <c r="S185" s="97"/>
      <c r="T185" s="90"/>
      <c r="U185" s="90"/>
      <c r="V185" s="91"/>
      <c r="W185" s="25"/>
    </row>
    <row r="186" spans="1:23" x14ac:dyDescent="0.25">
      <c r="A186" s="42"/>
      <c r="B186" s="42"/>
      <c r="C186" s="42"/>
      <c r="D186" s="84"/>
      <c r="E186" s="75"/>
      <c r="F186" s="76"/>
      <c r="G186" s="78"/>
      <c r="H186" s="77"/>
      <c r="I186" s="77"/>
      <c r="J186" s="109"/>
      <c r="K186" s="126"/>
      <c r="L186" s="116"/>
      <c r="M186" s="110"/>
      <c r="N186" s="65"/>
      <c r="O186" s="173"/>
      <c r="P186" s="6"/>
      <c r="Q186" s="16"/>
      <c r="R186" s="8"/>
      <c r="S186" s="13"/>
      <c r="T186" s="90"/>
      <c r="U186" s="90"/>
      <c r="V186" s="91"/>
      <c r="W186" s="25"/>
    </row>
    <row r="187" spans="1:23" x14ac:dyDescent="0.25">
      <c r="A187" s="42"/>
      <c r="B187" s="42"/>
      <c r="C187" s="42"/>
      <c r="D187" s="84"/>
      <c r="E187" s="79"/>
      <c r="F187" s="74"/>
      <c r="G187" s="78"/>
      <c r="H187" s="77"/>
      <c r="I187" s="77"/>
      <c r="J187" s="109"/>
      <c r="K187" s="126"/>
      <c r="L187" s="116"/>
      <c r="M187" s="110"/>
      <c r="N187" s="65"/>
      <c r="O187" s="173"/>
      <c r="P187" s="6"/>
      <c r="Q187" s="16"/>
      <c r="R187" s="93"/>
      <c r="S187" s="97"/>
      <c r="T187" s="90"/>
      <c r="U187" s="90"/>
      <c r="V187" s="91"/>
      <c r="W187" s="25"/>
    </row>
    <row r="188" spans="1:23" x14ac:dyDescent="0.25">
      <c r="A188" s="42"/>
      <c r="B188" s="42"/>
      <c r="C188" s="42"/>
      <c r="D188" s="84"/>
      <c r="E188" s="79"/>
      <c r="F188" s="74"/>
      <c r="G188" s="78"/>
      <c r="H188" s="77"/>
      <c r="I188" s="77"/>
      <c r="J188" s="109"/>
      <c r="K188" s="126"/>
      <c r="L188" s="116"/>
      <c r="M188" s="115"/>
      <c r="N188" s="67"/>
      <c r="O188" s="130"/>
      <c r="P188" s="6"/>
      <c r="Q188" s="146"/>
      <c r="R188" s="9"/>
      <c r="S188" s="97"/>
      <c r="T188" s="90"/>
      <c r="U188" s="90"/>
      <c r="V188" s="91"/>
      <c r="W188" s="25"/>
    </row>
    <row r="189" spans="1:23" x14ac:dyDescent="0.25">
      <c r="A189" s="42"/>
      <c r="B189" s="42"/>
      <c r="C189" s="42"/>
      <c r="D189" s="84"/>
      <c r="E189" s="75"/>
      <c r="F189" s="76"/>
      <c r="G189" s="78"/>
      <c r="H189" s="77"/>
      <c r="I189" s="77"/>
      <c r="J189" s="109"/>
      <c r="K189" s="126"/>
      <c r="L189" s="116"/>
      <c r="M189" s="110"/>
      <c r="N189" s="65"/>
      <c r="O189" s="173"/>
      <c r="P189" s="6"/>
      <c r="Q189" s="16"/>
      <c r="R189" s="9"/>
      <c r="S189" s="97"/>
      <c r="T189" s="90"/>
      <c r="U189" s="90"/>
      <c r="V189" s="91"/>
      <c r="W189" s="25"/>
    </row>
    <row r="190" spans="1:23" x14ac:dyDescent="0.25">
      <c r="A190" s="42"/>
      <c r="B190" s="42"/>
      <c r="C190" s="42"/>
      <c r="D190" s="84"/>
      <c r="E190" s="79"/>
      <c r="F190" s="74"/>
      <c r="G190" s="79"/>
      <c r="H190" s="74"/>
      <c r="I190" s="74"/>
      <c r="J190" s="105"/>
      <c r="K190" s="126"/>
      <c r="L190" s="117"/>
      <c r="M190" s="115"/>
      <c r="N190" s="67"/>
      <c r="O190" s="130"/>
      <c r="P190" s="6"/>
      <c r="Q190" s="16"/>
      <c r="R190" s="8"/>
      <c r="S190" s="97"/>
      <c r="T190" s="90"/>
      <c r="U190" s="90"/>
      <c r="V190" s="91"/>
      <c r="W190" s="25"/>
    </row>
    <row r="191" spans="1:23" x14ac:dyDescent="0.25">
      <c r="A191" s="42"/>
      <c r="B191" s="42"/>
      <c r="C191" s="42"/>
      <c r="D191" s="84"/>
      <c r="E191" s="75"/>
      <c r="F191" s="76"/>
      <c r="G191" s="78"/>
      <c r="H191" s="77"/>
      <c r="I191" s="77"/>
      <c r="J191" s="109"/>
      <c r="K191" s="126"/>
      <c r="L191" s="116"/>
      <c r="M191" s="115"/>
      <c r="N191" s="67"/>
      <c r="O191" s="130"/>
      <c r="P191" s="6"/>
      <c r="Q191" s="146"/>
      <c r="R191" s="93"/>
      <c r="S191" s="97"/>
      <c r="T191" s="90"/>
      <c r="U191" s="90"/>
      <c r="V191" s="91"/>
      <c r="W191" s="25"/>
    </row>
    <row r="192" spans="1:23" x14ac:dyDescent="0.25">
      <c r="A192" s="42"/>
      <c r="B192" s="42"/>
      <c r="C192" s="42"/>
      <c r="D192" s="84"/>
      <c r="E192" s="75"/>
      <c r="F192" s="76"/>
      <c r="G192" s="75"/>
      <c r="H192" s="76"/>
      <c r="I192" s="75"/>
      <c r="J192" s="111"/>
      <c r="K192" s="126"/>
      <c r="L192" s="118"/>
      <c r="M192" s="115"/>
      <c r="N192" s="67"/>
      <c r="O192" s="130"/>
      <c r="P192" s="6"/>
      <c r="Q192" s="146"/>
      <c r="R192" s="9"/>
      <c r="S192" s="97"/>
      <c r="T192" s="90"/>
      <c r="U192" s="90"/>
      <c r="V192" s="91"/>
      <c r="W192" s="25"/>
    </row>
    <row r="193" spans="1:23" x14ac:dyDescent="0.25">
      <c r="A193" s="42"/>
      <c r="B193" s="42"/>
      <c r="C193" s="42"/>
      <c r="D193" s="84"/>
      <c r="E193" s="75"/>
      <c r="F193" s="76"/>
      <c r="G193" s="78"/>
      <c r="H193" s="77"/>
      <c r="I193" s="77"/>
      <c r="J193" s="109"/>
      <c r="K193" s="126"/>
      <c r="L193" s="116"/>
      <c r="M193" s="115"/>
      <c r="N193" s="67"/>
      <c r="O193" s="130"/>
      <c r="P193" s="6"/>
      <c r="Q193" s="146"/>
      <c r="R193" s="93"/>
      <c r="S193" s="97"/>
      <c r="T193" s="90"/>
      <c r="U193" s="90"/>
      <c r="V193" s="91"/>
      <c r="W193" s="25"/>
    </row>
    <row r="194" spans="1:23" x14ac:dyDescent="0.25">
      <c r="A194" s="42"/>
      <c r="B194" s="42"/>
      <c r="C194" s="42"/>
      <c r="D194" s="84"/>
      <c r="E194" s="75"/>
      <c r="F194" s="76"/>
      <c r="G194" s="78"/>
      <c r="H194" s="77"/>
      <c r="I194" s="77"/>
      <c r="J194" s="109"/>
      <c r="K194" s="126"/>
      <c r="L194" s="116"/>
      <c r="M194" s="115"/>
      <c r="N194" s="67"/>
      <c r="O194" s="130"/>
      <c r="P194" s="6"/>
      <c r="Q194" s="146"/>
      <c r="R194" s="93"/>
      <c r="S194" s="97"/>
      <c r="T194" s="90"/>
      <c r="U194" s="90"/>
      <c r="V194" s="91"/>
      <c r="W194" s="25"/>
    </row>
    <row r="195" spans="1:23" x14ac:dyDescent="0.25">
      <c r="A195" s="42"/>
      <c r="B195" s="42"/>
      <c r="C195" s="42"/>
      <c r="D195" s="84"/>
      <c r="E195" s="75"/>
      <c r="F195" s="76"/>
      <c r="G195" s="78"/>
      <c r="H195" s="77"/>
      <c r="I195" s="77"/>
      <c r="J195" s="109"/>
      <c r="K195" s="126"/>
      <c r="L195" s="116"/>
      <c r="M195" s="110"/>
      <c r="N195" s="65"/>
      <c r="O195" s="173"/>
      <c r="P195" s="6"/>
      <c r="Q195" s="16"/>
      <c r="R195" s="93"/>
      <c r="S195" s="97"/>
      <c r="T195" s="90"/>
      <c r="U195" s="90"/>
      <c r="V195" s="91"/>
      <c r="W195" s="25"/>
    </row>
    <row r="196" spans="1:23" x14ac:dyDescent="0.25">
      <c r="A196" s="42"/>
      <c r="B196" s="42"/>
      <c r="C196" s="42"/>
      <c r="D196" s="84"/>
      <c r="E196" s="79"/>
      <c r="F196" s="74"/>
      <c r="G196" s="78"/>
      <c r="H196" s="77"/>
      <c r="I196" s="77"/>
      <c r="J196" s="109"/>
      <c r="K196" s="126"/>
      <c r="L196" s="116"/>
      <c r="M196" s="115"/>
      <c r="N196" s="67"/>
      <c r="O196" s="130"/>
      <c r="P196" s="6"/>
      <c r="Q196" s="16"/>
      <c r="R196" s="8"/>
      <c r="S196" s="97"/>
      <c r="T196" s="90"/>
      <c r="U196" s="90"/>
      <c r="V196" s="91"/>
      <c r="W196" s="25"/>
    </row>
    <row r="197" spans="1:23" x14ac:dyDescent="0.25">
      <c r="A197" s="42"/>
      <c r="B197" s="42"/>
      <c r="C197" s="42"/>
      <c r="D197" s="84"/>
      <c r="E197" s="75"/>
      <c r="F197" s="76"/>
      <c r="G197" s="78"/>
      <c r="H197" s="77"/>
      <c r="I197" s="77"/>
      <c r="J197" s="109"/>
      <c r="K197" s="126"/>
      <c r="L197" s="116"/>
      <c r="M197" s="115"/>
      <c r="N197" s="67"/>
      <c r="O197" s="130"/>
      <c r="P197" s="6"/>
      <c r="Q197" s="16"/>
      <c r="R197" s="8"/>
      <c r="S197" s="97"/>
      <c r="T197" s="90"/>
      <c r="U197" s="90"/>
      <c r="V197" s="91"/>
      <c r="W197" s="25"/>
    </row>
    <row r="198" spans="1:23" x14ac:dyDescent="0.25">
      <c r="A198" s="42"/>
      <c r="B198" s="42"/>
      <c r="C198" s="42"/>
      <c r="D198" s="84"/>
      <c r="E198" s="75"/>
      <c r="F198" s="76"/>
      <c r="G198" s="75"/>
      <c r="H198" s="76"/>
      <c r="I198" s="75"/>
      <c r="J198" s="111"/>
      <c r="K198" s="126"/>
      <c r="L198" s="118"/>
      <c r="M198" s="115"/>
      <c r="N198" s="67"/>
      <c r="O198" s="130"/>
      <c r="P198" s="6"/>
      <c r="Q198" s="16"/>
      <c r="R198" s="8"/>
      <c r="S198" s="97"/>
      <c r="T198" s="90"/>
      <c r="U198" s="90"/>
      <c r="V198" s="91"/>
      <c r="W198" s="25"/>
    </row>
    <row r="199" spans="1:23" x14ac:dyDescent="0.25">
      <c r="A199" s="42"/>
      <c r="B199" s="42"/>
      <c r="C199" s="42"/>
      <c r="D199" s="84"/>
      <c r="E199" s="75"/>
      <c r="F199" s="76"/>
      <c r="G199" s="78"/>
      <c r="H199" s="77"/>
      <c r="I199" s="77"/>
      <c r="J199" s="109"/>
      <c r="K199" s="126"/>
      <c r="L199" s="116"/>
      <c r="M199" s="110"/>
      <c r="N199" s="65"/>
      <c r="O199" s="173"/>
      <c r="P199" s="6"/>
      <c r="Q199" s="16"/>
      <c r="R199" s="93"/>
      <c r="S199" s="97"/>
      <c r="T199" s="90"/>
      <c r="U199" s="90"/>
      <c r="V199" s="91"/>
      <c r="W199" s="25"/>
    </row>
    <row r="200" spans="1:23" x14ac:dyDescent="0.25">
      <c r="A200" s="42"/>
      <c r="B200" s="42"/>
      <c r="C200" s="42"/>
      <c r="D200" s="84"/>
      <c r="E200" s="79"/>
      <c r="F200" s="74"/>
      <c r="G200" s="78"/>
      <c r="H200" s="77"/>
      <c r="I200" s="77"/>
      <c r="J200" s="109"/>
      <c r="K200" s="126"/>
      <c r="L200" s="116"/>
      <c r="M200" s="110"/>
      <c r="N200" s="65"/>
      <c r="O200" s="173"/>
      <c r="P200" s="6"/>
      <c r="Q200" s="16"/>
      <c r="R200" s="93"/>
      <c r="S200" s="97"/>
      <c r="T200" s="90"/>
      <c r="U200" s="90"/>
      <c r="V200" s="91"/>
      <c r="W200" s="25"/>
    </row>
    <row r="201" spans="1:23" x14ac:dyDescent="0.25">
      <c r="A201" s="42"/>
      <c r="B201" s="42"/>
      <c r="C201" s="42"/>
      <c r="D201" s="84"/>
      <c r="E201" s="79"/>
      <c r="F201" s="74"/>
      <c r="G201" s="78"/>
      <c r="H201" s="77"/>
      <c r="I201" s="77"/>
      <c r="J201" s="109"/>
      <c r="K201" s="126"/>
      <c r="L201" s="116"/>
      <c r="M201" s="110"/>
      <c r="N201" s="65"/>
      <c r="O201" s="173"/>
      <c r="P201" s="6"/>
      <c r="Q201" s="16"/>
      <c r="R201" s="8"/>
      <c r="S201" s="13"/>
      <c r="T201" s="90"/>
      <c r="U201" s="90"/>
      <c r="V201" s="91"/>
      <c r="W201" s="25"/>
    </row>
    <row r="202" spans="1:23" x14ac:dyDescent="0.25">
      <c r="A202" s="42"/>
      <c r="B202" s="42"/>
      <c r="C202" s="42"/>
      <c r="D202" s="84"/>
      <c r="E202" s="79"/>
      <c r="F202" s="74"/>
      <c r="G202" s="78"/>
      <c r="H202" s="77"/>
      <c r="I202" s="77"/>
      <c r="J202" s="109"/>
      <c r="K202" s="126"/>
      <c r="L202" s="116"/>
      <c r="M202" s="115"/>
      <c r="N202" s="67"/>
      <c r="O202" s="130"/>
      <c r="P202" s="6"/>
      <c r="Q202" s="16"/>
      <c r="R202" s="8"/>
      <c r="S202" s="97"/>
      <c r="T202" s="90"/>
      <c r="U202" s="90"/>
      <c r="V202" s="91"/>
      <c r="W202" s="25"/>
    </row>
    <row r="203" spans="1:23" x14ac:dyDescent="0.25">
      <c r="A203" s="42"/>
      <c r="B203" s="42"/>
      <c r="C203" s="42"/>
      <c r="D203" s="84"/>
      <c r="E203" s="75"/>
      <c r="F203" s="76"/>
      <c r="G203" s="78"/>
      <c r="H203" s="77"/>
      <c r="I203" s="77"/>
      <c r="J203" s="109"/>
      <c r="K203" s="126"/>
      <c r="L203" s="116"/>
      <c r="M203" s="110"/>
      <c r="N203" s="65"/>
      <c r="O203" s="173"/>
      <c r="P203" s="6"/>
      <c r="Q203" s="16"/>
      <c r="R203" s="93"/>
      <c r="S203" s="97"/>
      <c r="T203" s="90"/>
      <c r="U203" s="90"/>
      <c r="V203" s="91"/>
      <c r="W203" s="25"/>
    </row>
    <row r="204" spans="1:23" x14ac:dyDescent="0.25">
      <c r="A204" s="42"/>
      <c r="B204" s="42"/>
      <c r="C204" s="42"/>
      <c r="D204" s="84"/>
      <c r="E204" s="79"/>
      <c r="F204" s="74"/>
      <c r="G204" s="78"/>
      <c r="H204" s="77"/>
      <c r="I204" s="77"/>
      <c r="J204" s="109"/>
      <c r="K204" s="126"/>
      <c r="L204" s="116"/>
      <c r="M204" s="115"/>
      <c r="N204" s="67"/>
      <c r="O204" s="130"/>
      <c r="P204" s="6"/>
      <c r="Q204" s="16"/>
      <c r="R204" s="93"/>
      <c r="S204" s="97"/>
      <c r="T204" s="90"/>
      <c r="U204" s="90"/>
      <c r="V204" s="91"/>
      <c r="W204" s="25"/>
    </row>
    <row r="205" spans="1:23" x14ac:dyDescent="0.25">
      <c r="A205" s="42"/>
      <c r="B205" s="42"/>
      <c r="C205" s="42"/>
      <c r="D205" s="84"/>
      <c r="E205" s="75"/>
      <c r="F205" s="76"/>
      <c r="G205" s="78"/>
      <c r="H205" s="77"/>
      <c r="I205" s="77"/>
      <c r="J205" s="109"/>
      <c r="K205" s="126"/>
      <c r="L205" s="116"/>
      <c r="M205" s="110"/>
      <c r="N205" s="65"/>
      <c r="O205" s="173"/>
      <c r="P205" s="6"/>
      <c r="Q205" s="16"/>
      <c r="R205" s="93"/>
      <c r="S205" s="97"/>
      <c r="T205" s="90"/>
      <c r="U205" s="90"/>
      <c r="V205" s="91"/>
      <c r="W205" s="25"/>
    </row>
    <row r="206" spans="1:23" x14ac:dyDescent="0.25">
      <c r="A206" s="42"/>
      <c r="B206" s="42"/>
      <c r="C206" s="42"/>
      <c r="D206" s="84"/>
      <c r="E206" s="79"/>
      <c r="F206" s="74"/>
      <c r="G206" s="78"/>
      <c r="H206" s="77"/>
      <c r="I206" s="77"/>
      <c r="J206" s="109"/>
      <c r="K206" s="126"/>
      <c r="L206" s="116"/>
      <c r="M206" s="114"/>
      <c r="N206" s="66"/>
      <c r="O206" s="127"/>
      <c r="P206" s="6"/>
      <c r="Q206" s="16"/>
      <c r="R206" s="9"/>
      <c r="S206" s="97"/>
      <c r="T206" s="90"/>
      <c r="U206" s="90"/>
      <c r="V206" s="91"/>
      <c r="W206" s="25"/>
    </row>
    <row r="207" spans="1:23" x14ac:dyDescent="0.25">
      <c r="A207" s="42"/>
      <c r="B207" s="42"/>
      <c r="C207" s="42"/>
      <c r="D207" s="84"/>
      <c r="E207" s="75"/>
      <c r="F207" s="76"/>
      <c r="G207" s="78"/>
      <c r="H207" s="77"/>
      <c r="I207" s="77"/>
      <c r="J207" s="109"/>
      <c r="K207" s="126"/>
      <c r="L207" s="116"/>
      <c r="M207" s="114"/>
      <c r="N207" s="66"/>
      <c r="O207" s="127"/>
      <c r="P207" s="6"/>
      <c r="Q207" s="146"/>
      <c r="R207" s="8"/>
      <c r="S207" s="97"/>
      <c r="T207" s="90"/>
      <c r="U207" s="90"/>
      <c r="V207" s="91"/>
      <c r="W207" s="25"/>
    </row>
    <row r="208" spans="1:23" x14ac:dyDescent="0.25">
      <c r="A208" s="42"/>
      <c r="B208" s="42"/>
      <c r="C208" s="42"/>
      <c r="D208" s="84"/>
      <c r="E208" s="75"/>
      <c r="F208" s="76"/>
      <c r="G208" s="78"/>
      <c r="H208" s="77"/>
      <c r="I208" s="77"/>
      <c r="J208" s="109"/>
      <c r="K208" s="126"/>
      <c r="L208" s="116"/>
      <c r="M208" s="114"/>
      <c r="N208" s="66"/>
      <c r="O208" s="127"/>
      <c r="P208" s="6"/>
      <c r="Q208" s="146"/>
      <c r="R208" s="8"/>
      <c r="S208" s="97"/>
      <c r="T208" s="90"/>
      <c r="U208" s="90"/>
      <c r="V208" s="91"/>
      <c r="W208" s="25"/>
    </row>
    <row r="209" spans="1:23" x14ac:dyDescent="0.25">
      <c r="A209" s="42"/>
      <c r="B209" s="42"/>
      <c r="C209" s="42"/>
      <c r="D209" s="84"/>
      <c r="E209" s="75"/>
      <c r="F209" s="76"/>
      <c r="G209" s="78"/>
      <c r="H209" s="77"/>
      <c r="I209" s="77"/>
      <c r="J209" s="109"/>
      <c r="K209" s="126"/>
      <c r="L209" s="116"/>
      <c r="M209" s="110"/>
      <c r="N209" s="65"/>
      <c r="O209" s="173"/>
      <c r="P209" s="6"/>
      <c r="Q209" s="16"/>
      <c r="R209" s="93"/>
      <c r="S209" s="97"/>
      <c r="T209" s="90"/>
      <c r="U209" s="90"/>
      <c r="V209" s="91"/>
      <c r="W209" s="25"/>
    </row>
    <row r="210" spans="1:23" x14ac:dyDescent="0.25">
      <c r="A210" s="42"/>
      <c r="B210" s="42"/>
      <c r="C210" s="42"/>
      <c r="D210" s="84"/>
      <c r="G210" s="78"/>
      <c r="H210" s="77"/>
      <c r="I210" s="77"/>
      <c r="J210" s="109"/>
      <c r="K210" s="126"/>
      <c r="L210" s="116"/>
      <c r="M210" s="115"/>
      <c r="N210" s="67"/>
      <c r="O210" s="130"/>
      <c r="P210" s="6"/>
      <c r="Q210" s="146"/>
      <c r="R210" s="93"/>
      <c r="S210" s="97"/>
      <c r="T210" s="90"/>
      <c r="U210" s="90"/>
      <c r="V210" s="91"/>
      <c r="W210" s="25"/>
    </row>
    <row r="211" spans="1:23" x14ac:dyDescent="0.25">
      <c r="A211" s="42"/>
      <c r="B211" s="42"/>
      <c r="C211" s="42"/>
      <c r="D211" s="84"/>
      <c r="E211" s="75"/>
      <c r="F211" s="76"/>
      <c r="G211" s="78"/>
      <c r="H211" s="77"/>
      <c r="I211" s="77"/>
      <c r="J211" s="109"/>
      <c r="K211" s="126"/>
      <c r="L211" s="116"/>
      <c r="M211" s="115"/>
      <c r="N211" s="67"/>
      <c r="O211" s="130"/>
      <c r="P211" s="6"/>
      <c r="Q211" s="146"/>
      <c r="R211" s="8"/>
      <c r="S211" s="97"/>
      <c r="T211" s="90"/>
      <c r="U211" s="90"/>
      <c r="V211" s="91"/>
      <c r="W211" s="25"/>
    </row>
    <row r="212" spans="1:23" x14ac:dyDescent="0.25">
      <c r="A212" s="42"/>
      <c r="B212" s="42"/>
      <c r="C212" s="42"/>
      <c r="D212" s="84"/>
      <c r="E212" s="75"/>
      <c r="F212" s="76"/>
      <c r="G212" s="79"/>
      <c r="H212" s="74"/>
      <c r="I212" s="74"/>
      <c r="J212" s="105"/>
      <c r="K212" s="126"/>
      <c r="L212" s="117"/>
      <c r="M212" s="115"/>
      <c r="N212" s="67"/>
      <c r="O212" s="130"/>
      <c r="P212" s="6"/>
      <c r="Q212" s="16"/>
      <c r="R212" s="9"/>
      <c r="S212" s="97"/>
      <c r="T212" s="90"/>
      <c r="U212" s="90"/>
      <c r="V212" s="91"/>
      <c r="W212" s="25"/>
    </row>
    <row r="213" spans="1:23" x14ac:dyDescent="0.25">
      <c r="A213" s="42"/>
      <c r="B213" s="42"/>
      <c r="C213" s="42"/>
      <c r="D213" s="84"/>
      <c r="E213" s="75"/>
      <c r="F213" s="76"/>
      <c r="G213" s="78"/>
      <c r="H213" s="77"/>
      <c r="I213" s="77"/>
      <c r="J213" s="109"/>
      <c r="K213" s="126"/>
      <c r="L213" s="116"/>
      <c r="M213" s="110"/>
      <c r="N213" s="65"/>
      <c r="O213" s="173"/>
      <c r="P213" s="6"/>
      <c r="Q213" s="16"/>
      <c r="R213" s="93"/>
      <c r="S213" s="97"/>
      <c r="T213" s="90"/>
      <c r="U213" s="90"/>
      <c r="V213" s="91"/>
      <c r="W213" s="25"/>
    </row>
    <row r="214" spans="1:23" x14ac:dyDescent="0.25">
      <c r="A214" s="42"/>
      <c r="B214" s="42"/>
      <c r="C214" s="42"/>
      <c r="D214" s="84"/>
      <c r="E214" s="79"/>
      <c r="F214" s="74"/>
      <c r="G214" s="78"/>
      <c r="H214" s="77"/>
      <c r="I214" s="77"/>
      <c r="J214" s="109"/>
      <c r="K214" s="126"/>
      <c r="L214" s="116"/>
      <c r="M214" s="110"/>
      <c r="N214" s="65"/>
      <c r="O214" s="173"/>
      <c r="P214" s="6"/>
      <c r="Q214" s="16"/>
      <c r="R214" s="8"/>
      <c r="S214" s="97"/>
      <c r="T214" s="90"/>
      <c r="U214" s="90"/>
      <c r="V214" s="91"/>
      <c r="W214" s="25"/>
    </row>
    <row r="215" spans="1:23" x14ac:dyDescent="0.25">
      <c r="A215" s="42"/>
      <c r="B215" s="42"/>
      <c r="C215" s="42"/>
      <c r="D215" s="84"/>
      <c r="E215" s="75"/>
      <c r="F215" s="76"/>
      <c r="G215" s="78"/>
      <c r="H215" s="77"/>
      <c r="I215" s="77"/>
      <c r="J215" s="109"/>
      <c r="K215" s="126"/>
      <c r="L215" s="116"/>
      <c r="M215" s="110"/>
      <c r="N215" s="65"/>
      <c r="O215" s="173"/>
      <c r="P215" s="6"/>
      <c r="Q215" s="146"/>
      <c r="R215" s="9"/>
      <c r="S215" s="97"/>
      <c r="T215" s="90"/>
      <c r="U215" s="90"/>
      <c r="V215" s="91"/>
      <c r="W215" s="25"/>
    </row>
    <row r="216" spans="1:23" x14ac:dyDescent="0.25">
      <c r="A216" s="42"/>
      <c r="B216" s="42"/>
      <c r="C216" s="42"/>
      <c r="D216" s="84"/>
      <c r="E216" s="75"/>
      <c r="F216" s="76"/>
      <c r="G216" s="78"/>
      <c r="H216" s="77"/>
      <c r="I216" s="77"/>
      <c r="J216" s="109"/>
      <c r="K216" s="126"/>
      <c r="L216" s="116"/>
      <c r="M216" s="115"/>
      <c r="N216" s="67"/>
      <c r="O216" s="130"/>
      <c r="P216" s="6"/>
      <c r="Q216" s="16"/>
      <c r="R216" s="9"/>
      <c r="S216" s="13"/>
      <c r="T216" s="90"/>
      <c r="U216" s="90"/>
      <c r="V216" s="91"/>
      <c r="W216" s="25"/>
    </row>
    <row r="217" spans="1:23" x14ac:dyDescent="0.25">
      <c r="A217" s="42"/>
      <c r="B217" s="42"/>
      <c r="C217" s="42"/>
      <c r="D217" s="84"/>
      <c r="E217" s="75"/>
      <c r="F217" s="76"/>
      <c r="G217" s="78"/>
      <c r="H217" s="77"/>
      <c r="I217" s="77"/>
      <c r="J217" s="109"/>
      <c r="K217" s="126"/>
      <c r="L217" s="116"/>
      <c r="M217" s="115"/>
      <c r="N217" s="67"/>
      <c r="O217" s="130"/>
      <c r="P217" s="6"/>
      <c r="Q217" s="16"/>
      <c r="R217" s="9"/>
      <c r="S217" s="97"/>
      <c r="T217" s="90"/>
      <c r="U217" s="90"/>
      <c r="V217" s="91"/>
      <c r="W217" s="25"/>
    </row>
    <row r="218" spans="1:23" x14ac:dyDescent="0.25">
      <c r="A218" s="42"/>
      <c r="B218" s="42"/>
      <c r="C218" s="42"/>
      <c r="D218" s="84"/>
      <c r="E218" s="75"/>
      <c r="F218" s="76"/>
      <c r="G218" s="78"/>
      <c r="H218" s="77"/>
      <c r="I218" s="77"/>
      <c r="J218" s="109"/>
      <c r="K218" s="126"/>
      <c r="L218" s="116"/>
      <c r="M218" s="110"/>
      <c r="N218" s="65"/>
      <c r="O218" s="173"/>
      <c r="P218" s="6"/>
      <c r="Q218" s="16"/>
      <c r="R218" s="8"/>
      <c r="S218" s="97"/>
      <c r="T218" s="90"/>
      <c r="U218" s="90"/>
      <c r="V218" s="91"/>
      <c r="W218" s="25"/>
    </row>
    <row r="219" spans="1:23" x14ac:dyDescent="0.25">
      <c r="A219" s="42"/>
      <c r="B219" s="42"/>
      <c r="C219" s="42"/>
      <c r="D219" s="84"/>
      <c r="E219" s="79"/>
      <c r="F219" s="74"/>
      <c r="G219" s="78"/>
      <c r="H219" s="77"/>
      <c r="I219" s="77"/>
      <c r="J219" s="109"/>
      <c r="K219" s="126"/>
      <c r="L219" s="116"/>
      <c r="M219" s="110"/>
      <c r="N219" s="65"/>
      <c r="O219" s="173"/>
      <c r="P219" s="6"/>
      <c r="Q219" s="16"/>
      <c r="R219" s="9"/>
      <c r="S219" s="97"/>
      <c r="T219" s="90"/>
      <c r="U219" s="90"/>
      <c r="V219" s="91"/>
      <c r="W219" s="25"/>
    </row>
    <row r="220" spans="1:23" x14ac:dyDescent="0.25">
      <c r="A220" s="42"/>
      <c r="B220" s="42"/>
      <c r="C220" s="42"/>
      <c r="D220" s="84"/>
      <c r="E220" s="79"/>
      <c r="F220" s="74"/>
      <c r="G220" s="78"/>
      <c r="H220" s="77"/>
      <c r="I220" s="77"/>
      <c r="J220" s="109"/>
      <c r="K220" s="126"/>
      <c r="L220" s="116"/>
      <c r="M220" s="110"/>
      <c r="N220" s="65"/>
      <c r="O220" s="173"/>
      <c r="P220" s="6"/>
      <c r="Q220" s="16"/>
      <c r="R220" s="93"/>
      <c r="S220" s="97"/>
      <c r="T220" s="90"/>
      <c r="U220" s="90"/>
      <c r="V220" s="91"/>
      <c r="W220" s="25"/>
    </row>
    <row r="221" spans="1:23" x14ac:dyDescent="0.25">
      <c r="A221" s="42"/>
      <c r="B221" s="42"/>
      <c r="C221" s="42"/>
      <c r="D221" s="84"/>
      <c r="E221" s="79"/>
      <c r="F221" s="74"/>
      <c r="G221" s="78"/>
      <c r="H221" s="77"/>
      <c r="I221" s="77"/>
      <c r="J221" s="109"/>
      <c r="K221" s="126"/>
      <c r="L221" s="116"/>
      <c r="M221" s="115"/>
      <c r="N221" s="67"/>
      <c r="O221" s="130"/>
      <c r="P221" s="6"/>
      <c r="Q221" s="16"/>
      <c r="R221" s="8"/>
      <c r="S221" s="13"/>
      <c r="T221" s="90"/>
      <c r="U221" s="90"/>
      <c r="V221" s="91"/>
      <c r="W221" s="25"/>
    </row>
    <row r="222" spans="1:23" x14ac:dyDescent="0.25">
      <c r="A222" s="42"/>
      <c r="B222" s="42"/>
      <c r="C222" s="42"/>
      <c r="D222" s="84"/>
      <c r="E222" s="75"/>
      <c r="F222" s="76"/>
      <c r="G222" s="78"/>
      <c r="H222" s="77"/>
      <c r="I222" s="77"/>
      <c r="J222" s="109"/>
      <c r="K222" s="126"/>
      <c r="L222" s="116"/>
      <c r="M222" s="110"/>
      <c r="N222" s="65"/>
      <c r="O222" s="173"/>
      <c r="P222" s="6"/>
      <c r="Q222" s="16"/>
      <c r="R222" s="8"/>
      <c r="S222" s="97"/>
      <c r="T222" s="90"/>
      <c r="U222" s="90"/>
      <c r="V222" s="91"/>
      <c r="W222" s="25"/>
    </row>
    <row r="223" spans="1:23" x14ac:dyDescent="0.25">
      <c r="A223" s="42"/>
      <c r="B223" s="42"/>
      <c r="C223" s="42"/>
      <c r="D223" s="84"/>
      <c r="E223" s="75"/>
      <c r="F223" s="76"/>
      <c r="G223" s="78"/>
      <c r="H223" s="77"/>
      <c r="I223" s="77"/>
      <c r="J223" s="109"/>
      <c r="K223" s="126"/>
      <c r="L223" s="116"/>
      <c r="M223" s="115"/>
      <c r="N223" s="67"/>
      <c r="O223" s="130"/>
      <c r="P223" s="6"/>
      <c r="Q223" s="146"/>
      <c r="R223" s="8"/>
      <c r="S223" s="13"/>
      <c r="T223" s="90"/>
      <c r="U223" s="90"/>
      <c r="V223" s="91"/>
      <c r="W223" s="25"/>
    </row>
    <row r="224" spans="1:23" x14ac:dyDescent="0.25">
      <c r="A224" s="42"/>
      <c r="B224" s="42"/>
      <c r="C224" s="42"/>
      <c r="D224" s="84"/>
      <c r="E224" s="75"/>
      <c r="F224" s="76"/>
      <c r="G224" s="78"/>
      <c r="H224" s="77"/>
      <c r="I224" s="77"/>
      <c r="J224" s="109"/>
      <c r="K224" s="126"/>
      <c r="L224" s="116"/>
      <c r="M224" s="115"/>
      <c r="N224" s="67"/>
      <c r="O224" s="130"/>
      <c r="P224" s="6"/>
      <c r="Q224" s="146"/>
      <c r="R224" s="9"/>
      <c r="S224" s="97"/>
      <c r="T224" s="90"/>
      <c r="U224" s="90"/>
      <c r="V224" s="91"/>
      <c r="W224" s="25"/>
    </row>
    <row r="225" spans="1:23" x14ac:dyDescent="0.25">
      <c r="A225" s="42"/>
      <c r="B225" s="42"/>
      <c r="C225" s="42"/>
      <c r="D225" s="84"/>
      <c r="E225" s="75"/>
      <c r="F225" s="76"/>
      <c r="G225" s="75"/>
      <c r="H225" s="76"/>
      <c r="I225" s="77"/>
      <c r="J225" s="109"/>
      <c r="K225" s="126"/>
      <c r="L225" s="116"/>
      <c r="M225" s="115"/>
      <c r="N225" s="67"/>
      <c r="O225" s="130"/>
      <c r="P225" s="6"/>
      <c r="Q225" s="16"/>
      <c r="R225" s="9"/>
      <c r="S225" s="97"/>
      <c r="T225" s="90"/>
      <c r="U225" s="90"/>
      <c r="V225" s="91"/>
      <c r="W225" s="25"/>
    </row>
    <row r="226" spans="1:23" x14ac:dyDescent="0.25">
      <c r="A226" s="42"/>
      <c r="B226" s="42"/>
      <c r="C226" s="42"/>
      <c r="D226" s="84"/>
      <c r="E226" s="75"/>
      <c r="F226" s="76"/>
      <c r="G226" s="78"/>
      <c r="H226" s="77"/>
      <c r="I226" s="77"/>
      <c r="J226" s="109"/>
      <c r="K226" s="126"/>
      <c r="L226" s="116"/>
      <c r="M226" s="115"/>
      <c r="N226" s="67"/>
      <c r="O226" s="130"/>
      <c r="P226" s="6"/>
      <c r="Q226" s="146"/>
      <c r="R226" s="9"/>
      <c r="S226" s="97"/>
      <c r="T226" s="90"/>
      <c r="U226" s="90"/>
      <c r="V226" s="91"/>
      <c r="W226" s="25"/>
    </row>
    <row r="227" spans="1:23" x14ac:dyDescent="0.25">
      <c r="A227" s="42"/>
      <c r="B227" s="42"/>
      <c r="C227" s="42"/>
      <c r="D227" s="84"/>
      <c r="E227" s="75"/>
      <c r="F227" s="76"/>
      <c r="G227" s="78"/>
      <c r="H227" s="77"/>
      <c r="I227" s="77"/>
      <c r="J227" s="109"/>
      <c r="K227" s="126"/>
      <c r="L227" s="116"/>
      <c r="M227" s="115"/>
      <c r="N227" s="67"/>
      <c r="O227" s="130"/>
      <c r="P227" s="6"/>
      <c r="Q227" s="16"/>
      <c r="R227" s="9"/>
      <c r="S227" s="13"/>
      <c r="T227" s="90"/>
      <c r="U227" s="90"/>
      <c r="V227" s="91"/>
      <c r="W227" s="25"/>
    </row>
    <row r="228" spans="1:23" x14ac:dyDescent="0.25">
      <c r="A228" s="42"/>
      <c r="B228" s="42"/>
      <c r="C228" s="42"/>
      <c r="D228" s="84"/>
      <c r="E228" s="75"/>
      <c r="F228" s="76"/>
      <c r="G228" s="78"/>
      <c r="H228" s="77"/>
      <c r="I228" s="77"/>
      <c r="J228" s="109"/>
      <c r="K228" s="126"/>
      <c r="L228" s="116"/>
      <c r="M228" s="110"/>
      <c r="N228" s="65"/>
      <c r="O228" s="173"/>
      <c r="P228" s="6"/>
      <c r="Q228" s="16"/>
      <c r="R228" s="8"/>
      <c r="S228" s="97"/>
      <c r="T228" s="90"/>
      <c r="U228" s="90"/>
      <c r="V228" s="91"/>
      <c r="W228" s="25"/>
    </row>
    <row r="229" spans="1:23" x14ac:dyDescent="0.25">
      <c r="A229" s="42"/>
      <c r="B229" s="42"/>
      <c r="C229" s="42"/>
      <c r="D229" s="84"/>
      <c r="E229" s="79"/>
      <c r="F229" s="74"/>
      <c r="G229" s="78"/>
      <c r="H229" s="77"/>
      <c r="I229" s="77"/>
      <c r="J229" s="109"/>
      <c r="K229" s="126"/>
      <c r="L229" s="116"/>
      <c r="M229" s="110"/>
      <c r="N229" s="65"/>
      <c r="O229" s="173"/>
      <c r="P229" s="6"/>
      <c r="Q229" s="16"/>
      <c r="R229" s="8"/>
      <c r="S229" s="97"/>
      <c r="T229" s="90"/>
      <c r="U229" s="90"/>
      <c r="V229" s="91"/>
      <c r="W229" s="25"/>
    </row>
    <row r="230" spans="1:23" x14ac:dyDescent="0.25">
      <c r="A230" s="42"/>
      <c r="B230" s="42"/>
      <c r="C230" s="42"/>
      <c r="D230" s="84"/>
      <c r="E230" s="79"/>
      <c r="F230" s="74"/>
      <c r="G230" s="78"/>
      <c r="H230" s="77"/>
      <c r="I230" s="77"/>
      <c r="J230" s="109"/>
      <c r="K230" s="126"/>
      <c r="L230" s="116"/>
      <c r="M230" s="110"/>
      <c r="N230" s="65"/>
      <c r="O230" s="173"/>
      <c r="P230" s="6"/>
      <c r="Q230" s="16"/>
      <c r="R230" s="93"/>
      <c r="S230" s="13"/>
      <c r="T230" s="90"/>
      <c r="U230" s="90"/>
      <c r="V230" s="91"/>
      <c r="W230" s="25"/>
    </row>
    <row r="231" spans="1:23" x14ac:dyDescent="0.25">
      <c r="A231" s="42"/>
      <c r="B231" s="42"/>
      <c r="C231" s="42"/>
      <c r="D231" s="84"/>
      <c r="E231" s="75"/>
      <c r="F231" s="76"/>
      <c r="G231" s="78"/>
      <c r="H231" s="77"/>
      <c r="I231" s="77"/>
      <c r="J231" s="109"/>
      <c r="K231" s="126"/>
      <c r="L231" s="116"/>
      <c r="M231" s="110"/>
      <c r="N231" s="65"/>
      <c r="O231" s="173"/>
      <c r="P231" s="6"/>
      <c r="Q231" s="16"/>
      <c r="R231" s="9"/>
      <c r="S231" s="13"/>
      <c r="T231" s="90"/>
      <c r="U231" s="90"/>
      <c r="V231" s="91"/>
      <c r="W231" s="25"/>
    </row>
    <row r="232" spans="1:23" x14ac:dyDescent="0.25">
      <c r="A232" s="42"/>
      <c r="B232" s="42"/>
      <c r="C232" s="42"/>
      <c r="D232" s="84"/>
      <c r="G232" s="78"/>
      <c r="H232" s="77"/>
      <c r="I232" s="77"/>
      <c r="J232" s="109"/>
      <c r="K232" s="126"/>
      <c r="L232" s="116"/>
      <c r="M232" s="115"/>
      <c r="N232" s="67"/>
      <c r="O232" s="130"/>
      <c r="P232" s="6"/>
      <c r="Q232" s="16"/>
      <c r="R232" s="93"/>
      <c r="S232" s="97"/>
      <c r="T232" s="90"/>
      <c r="U232" s="90"/>
      <c r="V232" s="91"/>
      <c r="W232" s="25"/>
    </row>
    <row r="233" spans="1:23" x14ac:dyDescent="0.25">
      <c r="A233" s="42"/>
      <c r="B233" s="42"/>
      <c r="C233" s="42"/>
      <c r="D233" s="84"/>
      <c r="E233" s="75"/>
      <c r="F233" s="76"/>
      <c r="G233" s="78"/>
      <c r="H233" s="77"/>
      <c r="I233" s="77"/>
      <c r="J233" s="109"/>
      <c r="K233" s="126"/>
      <c r="L233" s="116"/>
      <c r="M233" s="110"/>
      <c r="N233" s="65"/>
      <c r="O233" s="173"/>
      <c r="P233" s="6"/>
      <c r="Q233" s="16"/>
      <c r="R233" s="93"/>
      <c r="S233" s="97"/>
      <c r="T233" s="90"/>
      <c r="U233" s="90"/>
      <c r="V233" s="91"/>
      <c r="W233" s="25"/>
    </row>
    <row r="234" spans="1:23" x14ac:dyDescent="0.25">
      <c r="A234" s="42"/>
      <c r="B234" s="42"/>
      <c r="C234" s="42"/>
      <c r="D234" s="84"/>
      <c r="E234" s="79"/>
      <c r="F234" s="74"/>
      <c r="G234" s="78"/>
      <c r="H234" s="77"/>
      <c r="I234" s="77"/>
      <c r="J234" s="109"/>
      <c r="K234" s="126"/>
      <c r="L234" s="116"/>
      <c r="M234" s="110"/>
      <c r="N234" s="65"/>
      <c r="O234" s="173"/>
      <c r="P234" s="6"/>
      <c r="Q234" s="16"/>
      <c r="R234" s="93"/>
      <c r="S234" s="13"/>
      <c r="T234" s="90"/>
      <c r="U234" s="90"/>
      <c r="V234" s="91"/>
      <c r="W234" s="25"/>
    </row>
    <row r="235" spans="1:23" x14ac:dyDescent="0.25">
      <c r="A235" s="42"/>
      <c r="B235" s="42"/>
      <c r="C235" s="42"/>
      <c r="D235" s="84"/>
      <c r="E235" s="79"/>
      <c r="F235" s="74"/>
      <c r="G235" s="78"/>
      <c r="H235" s="77"/>
      <c r="I235" s="77"/>
      <c r="J235" s="109"/>
      <c r="K235" s="126"/>
      <c r="L235" s="116"/>
      <c r="M235" s="115"/>
      <c r="N235" s="67"/>
      <c r="O235" s="130"/>
      <c r="P235" s="6"/>
      <c r="Q235" s="16"/>
      <c r="R235" s="93"/>
      <c r="S235" s="13"/>
      <c r="T235" s="90"/>
      <c r="U235" s="90"/>
      <c r="V235" s="91"/>
      <c r="W235" s="25"/>
    </row>
    <row r="236" spans="1:23" x14ac:dyDescent="0.25">
      <c r="A236" s="42"/>
      <c r="B236" s="42"/>
      <c r="C236" s="42"/>
      <c r="D236" s="84"/>
      <c r="E236" s="75"/>
      <c r="F236" s="76"/>
      <c r="G236" s="78"/>
      <c r="H236" s="77"/>
      <c r="I236" s="77"/>
      <c r="J236" s="109"/>
      <c r="K236" s="126"/>
      <c r="L236" s="116"/>
      <c r="M236" s="110"/>
      <c r="N236" s="65"/>
      <c r="O236" s="173"/>
      <c r="P236" s="6"/>
      <c r="Q236" s="146"/>
      <c r="R236" s="93"/>
      <c r="S236" s="97"/>
      <c r="T236" s="90"/>
      <c r="U236" s="90"/>
      <c r="V236" s="91"/>
      <c r="W236" s="25"/>
    </row>
    <row r="237" spans="1:23" x14ac:dyDescent="0.25">
      <c r="A237" s="42"/>
      <c r="B237" s="42"/>
      <c r="C237" s="42"/>
      <c r="D237" s="84"/>
      <c r="E237" s="79"/>
      <c r="F237" s="74"/>
      <c r="G237" s="78"/>
      <c r="H237" s="77"/>
      <c r="I237" s="77"/>
      <c r="J237" s="109"/>
      <c r="K237" s="126"/>
      <c r="L237" s="116"/>
      <c r="M237" s="110"/>
      <c r="N237" s="65"/>
      <c r="O237" s="173"/>
      <c r="P237" s="6"/>
      <c r="Q237" s="146"/>
      <c r="R237" s="93"/>
      <c r="S237" s="97"/>
      <c r="T237" s="90"/>
      <c r="U237" s="90"/>
      <c r="V237" s="91"/>
      <c r="W237" s="25"/>
    </row>
    <row r="238" spans="1:23" x14ac:dyDescent="0.25">
      <c r="A238" s="42"/>
      <c r="B238" s="42"/>
      <c r="C238" s="42"/>
      <c r="D238" s="84"/>
      <c r="E238" s="79"/>
      <c r="F238" s="74"/>
      <c r="G238" s="78"/>
      <c r="H238" s="77"/>
      <c r="I238" s="77"/>
      <c r="J238" s="109"/>
      <c r="K238" s="126"/>
      <c r="L238" s="116"/>
      <c r="M238" s="110"/>
      <c r="N238" s="65"/>
      <c r="O238" s="173"/>
      <c r="P238" s="6"/>
      <c r="Q238" s="16"/>
      <c r="R238" s="8"/>
      <c r="S238" s="13"/>
      <c r="T238" s="90"/>
      <c r="U238" s="90"/>
      <c r="V238" s="91"/>
      <c r="W238" s="25"/>
    </row>
    <row r="239" spans="1:23" x14ac:dyDescent="0.25">
      <c r="A239" s="42"/>
      <c r="B239" s="42"/>
      <c r="C239" s="42"/>
      <c r="D239" s="84"/>
      <c r="E239" s="79"/>
      <c r="F239" s="74"/>
      <c r="G239" s="78"/>
      <c r="H239" s="77"/>
      <c r="I239" s="77"/>
      <c r="J239" s="109"/>
      <c r="K239" s="126"/>
      <c r="L239" s="116"/>
      <c r="M239" s="110"/>
      <c r="N239" s="65"/>
      <c r="O239" s="173"/>
      <c r="P239" s="6"/>
      <c r="Q239" s="16"/>
      <c r="R239" s="9"/>
      <c r="S239" s="13"/>
      <c r="T239" s="90"/>
      <c r="U239" s="90"/>
      <c r="V239" s="91"/>
      <c r="W239" s="25"/>
    </row>
    <row r="240" spans="1:23" x14ac:dyDescent="0.25">
      <c r="A240" s="42"/>
      <c r="B240" s="42"/>
      <c r="C240" s="42"/>
      <c r="D240" s="84"/>
      <c r="E240" s="79"/>
      <c r="F240" s="74"/>
      <c r="G240" s="78"/>
      <c r="H240" s="77"/>
      <c r="I240" s="77"/>
      <c r="J240" s="109"/>
      <c r="K240" s="126"/>
      <c r="L240" s="116"/>
      <c r="M240" s="110"/>
      <c r="N240" s="65"/>
      <c r="O240" s="173"/>
      <c r="P240" s="6"/>
      <c r="Q240" s="16"/>
      <c r="R240" s="8"/>
      <c r="S240" s="13"/>
      <c r="T240" s="90"/>
      <c r="U240" s="90"/>
      <c r="V240" s="91"/>
      <c r="W240" s="25"/>
    </row>
    <row r="241" spans="1:23" x14ac:dyDescent="0.25">
      <c r="A241" s="42"/>
      <c r="B241" s="42"/>
      <c r="C241" s="42"/>
      <c r="D241" s="84"/>
      <c r="E241" s="79"/>
      <c r="F241" s="74"/>
      <c r="G241" s="78"/>
      <c r="H241" s="77"/>
      <c r="I241" s="77"/>
      <c r="J241" s="109"/>
      <c r="K241" s="126"/>
      <c r="L241" s="116"/>
      <c r="M241" s="110"/>
      <c r="N241" s="65"/>
      <c r="O241" s="173"/>
      <c r="P241" s="6"/>
      <c r="Q241" s="16"/>
      <c r="R241" s="8"/>
      <c r="S241" s="13"/>
      <c r="T241" s="90"/>
      <c r="U241" s="90"/>
      <c r="V241" s="91"/>
      <c r="W241" s="25"/>
    </row>
    <row r="242" spans="1:23" x14ac:dyDescent="0.25">
      <c r="A242" s="42"/>
      <c r="B242" s="42"/>
      <c r="C242" s="42"/>
      <c r="D242" s="84"/>
      <c r="E242" s="79"/>
      <c r="F242" s="74"/>
      <c r="G242" s="79"/>
      <c r="H242" s="74"/>
      <c r="I242" s="74"/>
      <c r="J242" s="105"/>
      <c r="K242" s="126"/>
      <c r="L242" s="117"/>
      <c r="M242" s="114"/>
      <c r="N242" s="66"/>
      <c r="O242" s="127"/>
      <c r="P242" s="6"/>
      <c r="Q242" s="16"/>
      <c r="R242" s="8"/>
      <c r="S242" s="13"/>
      <c r="T242" s="90"/>
      <c r="U242" s="90"/>
      <c r="V242" s="91"/>
      <c r="W242" s="25"/>
    </row>
    <row r="243" spans="1:23" x14ac:dyDescent="0.25">
      <c r="A243" s="42"/>
      <c r="B243" s="42"/>
      <c r="C243" s="42"/>
      <c r="D243" s="84"/>
      <c r="E243" s="75"/>
      <c r="F243" s="76"/>
      <c r="G243" s="78"/>
      <c r="H243" s="77"/>
      <c r="I243" s="77"/>
      <c r="J243" s="109"/>
      <c r="K243" s="126"/>
      <c r="L243" s="116"/>
      <c r="M243" s="114"/>
      <c r="N243" s="66"/>
      <c r="O243" s="127"/>
      <c r="P243" s="6"/>
      <c r="Q243" s="16"/>
      <c r="R243" s="93"/>
      <c r="S243" s="97"/>
      <c r="T243" s="90"/>
      <c r="U243" s="90"/>
      <c r="V243" s="91"/>
      <c r="W243" s="25"/>
    </row>
    <row r="244" spans="1:23" x14ac:dyDescent="0.25">
      <c r="A244" s="42"/>
      <c r="B244" s="42"/>
      <c r="C244" s="42"/>
      <c r="D244" s="84"/>
      <c r="E244" s="75"/>
      <c r="F244" s="76"/>
      <c r="G244" s="78"/>
      <c r="H244" s="77"/>
      <c r="I244" s="77"/>
      <c r="J244" s="109"/>
      <c r="K244" s="126"/>
      <c r="L244" s="116"/>
      <c r="M244" s="114"/>
      <c r="N244" s="66"/>
      <c r="O244" s="127"/>
      <c r="P244" s="6"/>
      <c r="Q244" s="16"/>
      <c r="R244" s="9"/>
      <c r="S244" s="13"/>
      <c r="T244" s="90"/>
      <c r="U244" s="90"/>
      <c r="V244" s="91"/>
      <c r="W244" s="25"/>
    </row>
    <row r="245" spans="1:23" x14ac:dyDescent="0.25">
      <c r="A245" s="42"/>
      <c r="B245" s="42"/>
      <c r="C245" s="42"/>
      <c r="D245" s="84"/>
      <c r="E245" s="79"/>
      <c r="F245" s="74"/>
      <c r="G245" s="78"/>
      <c r="H245" s="77"/>
      <c r="I245" s="77"/>
      <c r="J245" s="109"/>
      <c r="K245" s="126"/>
      <c r="L245" s="116"/>
      <c r="M245" s="114"/>
      <c r="N245" s="66"/>
      <c r="O245" s="127"/>
      <c r="P245" s="6"/>
      <c r="Q245" s="16"/>
      <c r="R245" s="8"/>
      <c r="S245" s="13"/>
      <c r="T245" s="90"/>
      <c r="U245" s="90"/>
      <c r="V245" s="91"/>
      <c r="W245" s="25"/>
    </row>
    <row r="246" spans="1:23" x14ac:dyDescent="0.25">
      <c r="A246" s="42"/>
      <c r="B246" s="42"/>
      <c r="C246" s="42"/>
      <c r="D246" s="84"/>
      <c r="E246" s="79"/>
      <c r="F246" s="74"/>
      <c r="G246" s="78"/>
      <c r="H246" s="77"/>
      <c r="I246" s="77"/>
      <c r="J246" s="109"/>
      <c r="K246" s="126"/>
      <c r="L246" s="116"/>
      <c r="M246" s="114"/>
      <c r="N246" s="66"/>
      <c r="O246" s="127"/>
      <c r="P246" s="6"/>
      <c r="Q246" s="16"/>
      <c r="R246" s="8"/>
      <c r="S246" s="13"/>
      <c r="T246" s="90"/>
      <c r="U246" s="90"/>
      <c r="V246" s="91"/>
      <c r="W246" s="25"/>
    </row>
    <row r="247" spans="1:23" x14ac:dyDescent="0.25">
      <c r="A247" s="42"/>
      <c r="B247" s="42"/>
      <c r="C247" s="42"/>
      <c r="D247" s="84"/>
      <c r="E247" s="75"/>
      <c r="F247" s="76"/>
      <c r="G247" s="78"/>
      <c r="H247" s="77"/>
      <c r="I247" s="77"/>
      <c r="J247" s="109"/>
      <c r="K247" s="124"/>
      <c r="L247" s="116"/>
      <c r="M247" s="107"/>
      <c r="N247" s="63"/>
      <c r="O247" s="127"/>
      <c r="P247" s="6"/>
      <c r="Q247" s="171"/>
      <c r="R247" s="63"/>
      <c r="S247" s="13"/>
      <c r="T247" s="13"/>
      <c r="U247" s="13"/>
      <c r="V247" s="87"/>
      <c r="W247" s="27"/>
    </row>
    <row r="248" spans="1:23" x14ac:dyDescent="0.25">
      <c r="A248" s="43"/>
      <c r="B248" s="43"/>
      <c r="C248" s="43"/>
      <c r="D248" s="85"/>
      <c r="E248" s="79"/>
      <c r="F248" s="74"/>
      <c r="G248" s="78"/>
      <c r="H248" s="77"/>
      <c r="I248" s="77"/>
      <c r="J248" s="109"/>
      <c r="K248" s="126"/>
      <c r="L248" s="116"/>
      <c r="M248" s="115"/>
      <c r="N248" s="67"/>
      <c r="O248" s="130"/>
      <c r="P248" s="6"/>
      <c r="Q248" s="16"/>
      <c r="R248" s="93"/>
      <c r="S248" s="13"/>
      <c r="T248" s="90"/>
      <c r="U248" s="90"/>
      <c r="V248" s="91"/>
      <c r="W248" s="25"/>
    </row>
    <row r="249" spans="1:23" x14ac:dyDescent="0.25">
      <c r="A249" s="42"/>
      <c r="B249" s="42"/>
      <c r="C249" s="42"/>
      <c r="D249" s="84"/>
      <c r="E249" s="75"/>
      <c r="F249" s="76"/>
      <c r="G249" s="75"/>
      <c r="H249" s="76"/>
      <c r="I249" s="77"/>
      <c r="J249" s="109"/>
      <c r="K249" s="126"/>
      <c r="L249" s="116"/>
      <c r="M249" s="115"/>
      <c r="N249" s="67"/>
      <c r="O249" s="173"/>
      <c r="P249" s="6"/>
      <c r="Q249" s="16"/>
      <c r="R249" s="93"/>
      <c r="S249" s="97"/>
      <c r="T249" s="90"/>
      <c r="U249" s="90"/>
      <c r="V249" s="91"/>
      <c r="W249" s="25"/>
    </row>
    <row r="250" spans="1:23" x14ac:dyDescent="0.25">
      <c r="A250" s="42"/>
      <c r="B250" s="42"/>
      <c r="C250" s="42"/>
      <c r="D250" s="84"/>
      <c r="E250" s="75"/>
      <c r="F250" s="76"/>
      <c r="G250" s="78"/>
      <c r="H250" s="77"/>
      <c r="I250" s="77"/>
      <c r="J250" s="109"/>
      <c r="K250" s="126"/>
      <c r="L250" s="116"/>
      <c r="M250" s="115"/>
      <c r="N250" s="67"/>
      <c r="O250" s="130"/>
      <c r="P250" s="6"/>
      <c r="Q250" s="146"/>
      <c r="R250" s="93"/>
      <c r="S250" s="13"/>
      <c r="T250" s="90"/>
      <c r="U250" s="90"/>
      <c r="V250" s="91"/>
      <c r="W250" s="25"/>
    </row>
    <row r="251" spans="1:23" x14ac:dyDescent="0.25">
      <c r="A251" s="42"/>
      <c r="B251" s="42"/>
      <c r="C251" s="42"/>
      <c r="D251" s="84"/>
      <c r="E251" s="75"/>
      <c r="F251" s="76"/>
      <c r="G251" s="78"/>
      <c r="H251" s="77"/>
      <c r="I251" s="77"/>
      <c r="J251" s="109"/>
      <c r="K251" s="126"/>
      <c r="L251" s="116"/>
      <c r="M251" s="115"/>
      <c r="N251" s="67"/>
      <c r="O251" s="130"/>
      <c r="P251" s="6"/>
      <c r="Q251" s="16"/>
      <c r="R251" s="93"/>
      <c r="S251" s="97"/>
      <c r="T251" s="90"/>
      <c r="U251" s="90"/>
      <c r="V251" s="91"/>
      <c r="W251" s="25"/>
    </row>
    <row r="252" spans="1:23" x14ac:dyDescent="0.25">
      <c r="A252" s="42"/>
      <c r="B252" s="42"/>
      <c r="C252" s="42"/>
      <c r="D252" s="84"/>
      <c r="E252" s="75"/>
      <c r="F252" s="76"/>
      <c r="G252" s="78"/>
      <c r="H252" s="77"/>
      <c r="I252" s="77"/>
      <c r="J252" s="109"/>
      <c r="K252" s="126"/>
      <c r="L252" s="116"/>
      <c r="M252" s="115"/>
      <c r="N252" s="67"/>
      <c r="O252" s="173"/>
      <c r="P252" s="6"/>
      <c r="Q252" s="146"/>
      <c r="R252" s="8"/>
      <c r="S252" s="13"/>
      <c r="T252" s="90"/>
      <c r="U252" s="90"/>
      <c r="V252" s="91"/>
      <c r="W252" s="25"/>
    </row>
    <row r="253" spans="1:23" x14ac:dyDescent="0.25">
      <c r="A253" s="42"/>
      <c r="B253" s="42"/>
      <c r="C253" s="42"/>
      <c r="D253" s="84"/>
      <c r="E253" s="75"/>
      <c r="F253" s="76"/>
      <c r="G253" s="78"/>
      <c r="H253" s="77"/>
      <c r="I253" s="77"/>
      <c r="J253" s="109"/>
      <c r="K253" s="126"/>
      <c r="L253" s="116"/>
      <c r="M253" s="115"/>
      <c r="N253" s="67"/>
      <c r="O253" s="130"/>
      <c r="P253" s="6"/>
      <c r="Q253" s="16"/>
      <c r="R253" s="93"/>
      <c r="S253" s="13"/>
      <c r="T253" s="90"/>
      <c r="U253" s="90"/>
      <c r="V253" s="91"/>
      <c r="W253" s="25"/>
    </row>
    <row r="254" spans="1:23" x14ac:dyDescent="0.25">
      <c r="A254" s="42"/>
      <c r="B254" s="42"/>
      <c r="C254" s="42"/>
      <c r="D254" s="84"/>
      <c r="E254" s="75"/>
      <c r="F254" s="76"/>
      <c r="G254" s="78"/>
      <c r="H254" s="77"/>
      <c r="I254" s="77"/>
      <c r="J254" s="109"/>
      <c r="K254" s="126"/>
      <c r="L254" s="116"/>
      <c r="M254" s="115"/>
      <c r="N254" s="67"/>
      <c r="O254" s="130"/>
      <c r="P254" s="6"/>
      <c r="Q254" s="16"/>
      <c r="R254" s="8"/>
      <c r="S254" s="13"/>
      <c r="T254" s="90"/>
      <c r="U254" s="90"/>
      <c r="V254" s="91"/>
      <c r="W254" s="25"/>
    </row>
    <row r="255" spans="1:23" x14ac:dyDescent="0.25">
      <c r="A255" s="42"/>
      <c r="B255" s="42"/>
      <c r="C255" s="42"/>
      <c r="D255" s="84"/>
      <c r="E255" s="75"/>
      <c r="F255" s="76"/>
      <c r="G255" s="79"/>
      <c r="H255" s="74"/>
      <c r="I255" s="74"/>
      <c r="J255" s="105"/>
      <c r="K255" s="126"/>
      <c r="L255" s="117"/>
      <c r="M255" s="115"/>
      <c r="N255" s="67"/>
      <c r="O255" s="130"/>
      <c r="P255" s="6"/>
      <c r="Q255" s="16"/>
      <c r="R255" s="93"/>
      <c r="S255" s="13"/>
      <c r="T255" s="90"/>
      <c r="U255" s="90"/>
      <c r="V255" s="91"/>
      <c r="W255" s="25"/>
    </row>
    <row r="256" spans="1:23" x14ac:dyDescent="0.25">
      <c r="A256" s="42"/>
      <c r="B256" s="42"/>
      <c r="C256" s="42"/>
      <c r="D256" s="84"/>
      <c r="E256" s="75"/>
      <c r="F256" s="76"/>
      <c r="G256" s="78"/>
      <c r="H256" s="77"/>
      <c r="I256" s="77"/>
      <c r="J256" s="109"/>
      <c r="K256" s="126"/>
      <c r="L256" s="116"/>
      <c r="M256" s="115"/>
      <c r="N256" s="67"/>
      <c r="O256" s="130"/>
      <c r="P256" s="6"/>
      <c r="Q256" s="16"/>
      <c r="R256" s="93"/>
      <c r="S256" s="13"/>
      <c r="T256" s="90"/>
      <c r="U256" s="90"/>
      <c r="V256" s="91"/>
      <c r="W256" s="25"/>
    </row>
    <row r="257" spans="1:23" x14ac:dyDescent="0.25">
      <c r="A257" s="42"/>
      <c r="B257" s="42"/>
      <c r="C257" s="42"/>
      <c r="D257" s="84"/>
      <c r="E257" s="75"/>
      <c r="F257" s="76"/>
      <c r="G257" s="78"/>
      <c r="H257" s="77"/>
      <c r="I257" s="77"/>
      <c r="J257" s="109"/>
      <c r="K257" s="126"/>
      <c r="L257" s="116"/>
      <c r="M257" s="115"/>
      <c r="N257" s="67"/>
      <c r="O257" s="130"/>
      <c r="P257" s="6"/>
      <c r="Q257" s="16"/>
      <c r="R257" s="9"/>
      <c r="S257" s="13"/>
      <c r="T257" s="90"/>
      <c r="U257" s="90"/>
      <c r="V257" s="91"/>
      <c r="W257" s="25"/>
    </row>
    <row r="258" spans="1:23" x14ac:dyDescent="0.25">
      <c r="A258" s="42"/>
      <c r="B258" s="42"/>
      <c r="C258" s="42"/>
      <c r="D258" s="84"/>
      <c r="E258" s="75"/>
      <c r="F258" s="76"/>
      <c r="G258" s="78"/>
      <c r="H258" s="77"/>
      <c r="I258" s="77"/>
      <c r="J258" s="109"/>
      <c r="K258" s="126"/>
      <c r="L258" s="116"/>
      <c r="M258" s="115"/>
      <c r="N258" s="67"/>
      <c r="O258" s="130"/>
      <c r="P258" s="6"/>
      <c r="Q258" s="16"/>
      <c r="R258" s="8"/>
      <c r="S258" s="13"/>
      <c r="T258" s="90"/>
      <c r="U258" s="90"/>
      <c r="V258" s="91"/>
      <c r="W258" s="25"/>
    </row>
    <row r="259" spans="1:23" x14ac:dyDescent="0.25">
      <c r="A259" s="42"/>
      <c r="B259" s="42"/>
      <c r="C259" s="42"/>
      <c r="D259" s="84"/>
      <c r="E259" s="75"/>
      <c r="F259" s="76"/>
      <c r="G259" s="78"/>
      <c r="H259" s="77"/>
      <c r="I259" s="77"/>
      <c r="J259" s="109"/>
      <c r="K259" s="126"/>
      <c r="L259" s="116"/>
      <c r="M259" s="115"/>
      <c r="N259" s="67"/>
      <c r="O259" s="130"/>
      <c r="P259" s="6"/>
      <c r="Q259" s="16"/>
      <c r="R259" s="8"/>
      <c r="S259" s="13"/>
      <c r="T259" s="90"/>
      <c r="U259" s="90"/>
      <c r="V259" s="91"/>
      <c r="W259" s="25"/>
    </row>
    <row r="260" spans="1:23" x14ac:dyDescent="0.25">
      <c r="A260" s="42"/>
      <c r="B260" s="42"/>
      <c r="C260" s="42"/>
      <c r="D260" s="84"/>
      <c r="E260" s="75"/>
      <c r="F260" s="76"/>
      <c r="G260" s="79"/>
      <c r="H260" s="74"/>
      <c r="I260" s="74"/>
      <c r="J260" s="105"/>
      <c r="K260" s="126"/>
      <c r="L260" s="117"/>
      <c r="M260" s="110"/>
      <c r="N260" s="65"/>
      <c r="O260" s="173"/>
      <c r="P260" s="6"/>
      <c r="Q260" s="16"/>
      <c r="R260" s="9"/>
      <c r="S260" s="97"/>
      <c r="T260" s="90"/>
      <c r="U260" s="90"/>
      <c r="V260" s="91"/>
      <c r="W260" s="25"/>
    </row>
    <row r="261" spans="1:23" x14ac:dyDescent="0.25">
      <c r="A261" s="42"/>
      <c r="B261" s="42"/>
      <c r="C261" s="42"/>
      <c r="D261" s="84"/>
      <c r="E261" s="79"/>
      <c r="F261" s="74"/>
      <c r="G261" s="75"/>
      <c r="H261" s="76"/>
      <c r="I261" s="77"/>
      <c r="J261" s="109"/>
      <c r="K261" s="126"/>
      <c r="L261" s="116"/>
      <c r="M261" s="115"/>
      <c r="N261" s="67"/>
      <c r="O261" s="173"/>
      <c r="P261" s="6"/>
      <c r="Q261" s="16"/>
      <c r="R261" s="8"/>
      <c r="S261" s="13"/>
      <c r="T261" s="90"/>
      <c r="U261" s="90"/>
      <c r="V261" s="91"/>
      <c r="W261" s="25"/>
    </row>
    <row r="262" spans="1:23" x14ac:dyDescent="0.25">
      <c r="A262" s="42"/>
      <c r="B262" s="42"/>
      <c r="C262" s="42"/>
      <c r="D262" s="84"/>
      <c r="E262" s="75"/>
      <c r="F262" s="76"/>
      <c r="G262" s="75"/>
      <c r="H262" s="76"/>
      <c r="I262" s="77"/>
      <c r="J262" s="109"/>
      <c r="K262" s="126"/>
      <c r="L262" s="116"/>
      <c r="M262" s="115"/>
      <c r="N262" s="67"/>
      <c r="O262" s="130"/>
      <c r="P262" s="6"/>
      <c r="Q262" s="16"/>
      <c r="R262" s="9"/>
      <c r="S262" s="13"/>
      <c r="T262" s="90"/>
      <c r="U262" s="90"/>
      <c r="V262" s="91"/>
      <c r="W262" s="25"/>
    </row>
    <row r="263" spans="1:23" x14ac:dyDescent="0.25">
      <c r="A263" s="42"/>
      <c r="B263" s="42"/>
      <c r="C263" s="42"/>
      <c r="D263" s="84"/>
      <c r="E263" s="75"/>
      <c r="F263" s="76"/>
      <c r="G263" s="78"/>
      <c r="H263" s="77"/>
      <c r="I263" s="77"/>
      <c r="J263" s="109"/>
      <c r="K263" s="126"/>
      <c r="L263" s="116"/>
      <c r="M263" s="115"/>
      <c r="N263" s="67"/>
      <c r="O263" s="130"/>
      <c r="P263" s="6"/>
      <c r="Q263" s="16"/>
      <c r="R263" s="93"/>
      <c r="S263" s="13"/>
      <c r="T263" s="90"/>
      <c r="U263" s="90"/>
      <c r="V263" s="91"/>
      <c r="W263" s="25"/>
    </row>
    <row r="264" spans="1:23" x14ac:dyDescent="0.25">
      <c r="A264" s="42"/>
      <c r="B264" s="42"/>
      <c r="C264" s="42"/>
      <c r="D264" s="84"/>
      <c r="E264" s="75"/>
      <c r="F264" s="76"/>
      <c r="G264" s="78"/>
      <c r="H264" s="77"/>
      <c r="I264" s="77"/>
      <c r="J264" s="109"/>
      <c r="K264" s="126"/>
      <c r="L264" s="116"/>
      <c r="M264" s="115"/>
      <c r="N264" s="67"/>
      <c r="O264" s="130"/>
      <c r="P264" s="6"/>
      <c r="Q264" s="16"/>
      <c r="R264" s="93"/>
      <c r="S264" s="13"/>
      <c r="T264" s="90"/>
      <c r="U264" s="90"/>
      <c r="V264" s="91"/>
      <c r="W264" s="25"/>
    </row>
    <row r="265" spans="1:23" x14ac:dyDescent="0.25">
      <c r="A265" s="42"/>
      <c r="B265" s="42"/>
      <c r="C265" s="42"/>
      <c r="D265" s="84"/>
      <c r="E265" s="75"/>
      <c r="F265" s="76"/>
      <c r="G265" s="78"/>
      <c r="H265" s="77"/>
      <c r="I265" s="77"/>
      <c r="J265" s="109"/>
      <c r="K265" s="126"/>
      <c r="L265" s="116"/>
      <c r="M265" s="115"/>
      <c r="N265" s="67"/>
      <c r="O265" s="130"/>
      <c r="P265" s="6"/>
      <c r="Q265" s="146"/>
      <c r="R265" s="93"/>
      <c r="S265" s="13"/>
      <c r="T265" s="90"/>
      <c r="U265" s="90"/>
      <c r="V265" s="91"/>
      <c r="W265" s="25"/>
    </row>
    <row r="266" spans="1:23" x14ac:dyDescent="0.25">
      <c r="A266" s="42"/>
      <c r="B266" s="42"/>
      <c r="C266" s="42"/>
      <c r="D266" s="84"/>
      <c r="E266" s="75"/>
      <c r="F266" s="76"/>
      <c r="G266" s="79"/>
      <c r="H266" s="74"/>
      <c r="I266" s="77"/>
      <c r="J266" s="109"/>
      <c r="K266" s="126"/>
      <c r="L266" s="116"/>
      <c r="M266" s="110"/>
      <c r="N266" s="65"/>
      <c r="O266" s="173"/>
      <c r="P266" s="6"/>
      <c r="Q266" s="146"/>
      <c r="R266" s="93"/>
      <c r="S266" s="13"/>
      <c r="T266" s="90"/>
      <c r="U266" s="90"/>
      <c r="V266" s="91"/>
      <c r="W266" s="25"/>
    </row>
    <row r="267" spans="1:23" x14ac:dyDescent="0.25">
      <c r="A267" s="42"/>
      <c r="B267" s="42"/>
      <c r="C267" s="42"/>
      <c r="D267" s="84"/>
      <c r="E267" s="75"/>
      <c r="F267" s="76"/>
      <c r="G267" s="78"/>
      <c r="H267" s="77"/>
      <c r="I267" s="77"/>
      <c r="J267" s="109"/>
      <c r="K267" s="126"/>
      <c r="L267" s="116"/>
      <c r="M267" s="110"/>
      <c r="N267" s="65"/>
      <c r="O267" s="173"/>
      <c r="P267" s="6"/>
      <c r="Q267" s="16"/>
      <c r="R267" s="93"/>
      <c r="S267" s="13"/>
      <c r="T267" s="90"/>
      <c r="U267" s="90"/>
      <c r="V267" s="91"/>
      <c r="W267" s="25"/>
    </row>
    <row r="268" spans="1:23" x14ac:dyDescent="0.25">
      <c r="A268" s="42"/>
      <c r="B268" s="42"/>
      <c r="C268" s="42"/>
      <c r="D268" s="84"/>
      <c r="G268" s="78"/>
      <c r="H268" s="77"/>
      <c r="I268" s="77"/>
      <c r="J268" s="109"/>
      <c r="K268" s="126"/>
      <c r="L268" s="116"/>
      <c r="M268" s="115"/>
      <c r="N268" s="67"/>
      <c r="O268" s="130"/>
      <c r="P268" s="6"/>
      <c r="Q268" s="16"/>
      <c r="R268" s="93"/>
      <c r="S268" s="13"/>
      <c r="T268" s="90"/>
      <c r="U268" s="90"/>
      <c r="V268" s="91"/>
      <c r="W268" s="25"/>
    </row>
    <row r="269" spans="1:23" x14ac:dyDescent="0.25">
      <c r="A269" s="42"/>
      <c r="B269" s="42"/>
      <c r="C269" s="42"/>
      <c r="D269" s="84"/>
      <c r="E269" s="75"/>
      <c r="F269" s="76"/>
      <c r="G269" s="78"/>
      <c r="H269" s="77"/>
      <c r="I269" s="77"/>
      <c r="J269" s="109"/>
      <c r="K269" s="126"/>
      <c r="L269" s="116"/>
      <c r="M269" s="115"/>
      <c r="N269" s="67"/>
      <c r="O269" s="130"/>
      <c r="P269" s="6"/>
      <c r="Q269" s="16"/>
      <c r="R269" s="93"/>
      <c r="S269" s="13"/>
      <c r="T269" s="90"/>
      <c r="U269" s="90"/>
      <c r="V269" s="91"/>
      <c r="W269" s="25"/>
    </row>
    <row r="270" spans="1:23" x14ac:dyDescent="0.25">
      <c r="A270" s="42"/>
      <c r="B270" s="42"/>
      <c r="C270" s="42"/>
      <c r="D270" s="84"/>
      <c r="E270" s="75"/>
      <c r="F270" s="76"/>
      <c r="G270" s="78"/>
      <c r="H270" s="77"/>
      <c r="I270" s="77"/>
      <c r="J270" s="109"/>
      <c r="K270" s="126"/>
      <c r="L270" s="116"/>
      <c r="M270" s="115"/>
      <c r="N270" s="67"/>
      <c r="O270" s="130"/>
      <c r="P270" s="6"/>
      <c r="Q270" s="16"/>
      <c r="R270" s="93"/>
      <c r="S270" s="13"/>
      <c r="T270" s="90"/>
      <c r="U270" s="90"/>
      <c r="V270" s="91"/>
      <c r="W270" s="25"/>
    </row>
    <row r="271" spans="1:23" x14ac:dyDescent="0.25">
      <c r="A271" s="42"/>
      <c r="B271" s="42"/>
      <c r="C271" s="42"/>
      <c r="D271" s="84"/>
      <c r="E271" s="75"/>
      <c r="F271" s="76"/>
      <c r="G271" s="78"/>
      <c r="H271" s="77"/>
      <c r="I271" s="77"/>
      <c r="J271" s="109"/>
      <c r="K271" s="126"/>
      <c r="L271" s="116"/>
      <c r="M271" s="104"/>
      <c r="N271" s="69"/>
      <c r="P271" s="6"/>
      <c r="Q271" s="16"/>
      <c r="R271" s="93"/>
      <c r="S271" s="13"/>
      <c r="T271" s="90"/>
      <c r="U271" s="90"/>
      <c r="V271" s="91"/>
      <c r="W271" s="25"/>
    </row>
    <row r="272" spans="1:23" x14ac:dyDescent="0.25">
      <c r="A272" s="42"/>
      <c r="B272" s="42"/>
      <c r="C272" s="42"/>
      <c r="D272" s="84"/>
      <c r="E272" s="75"/>
      <c r="F272" s="76"/>
      <c r="G272" s="78"/>
      <c r="H272" s="77"/>
      <c r="I272" s="77"/>
      <c r="J272" s="109"/>
      <c r="K272" s="124"/>
      <c r="L272" s="116"/>
      <c r="M272" s="108"/>
      <c r="N272" s="51"/>
      <c r="P272" s="6"/>
      <c r="Q272" s="171"/>
      <c r="R272" s="51"/>
      <c r="S272" s="13"/>
      <c r="T272" s="13"/>
      <c r="U272" s="13"/>
      <c r="V272" s="17"/>
      <c r="W272" s="27"/>
    </row>
    <row r="273" spans="1:23" x14ac:dyDescent="0.25">
      <c r="A273" s="29"/>
      <c r="B273" s="29"/>
      <c r="C273" s="29"/>
      <c r="D273" s="63"/>
      <c r="E273" s="79"/>
      <c r="F273" s="74"/>
      <c r="G273" s="75"/>
      <c r="H273" s="76"/>
      <c r="I273" s="77"/>
      <c r="J273" s="109"/>
      <c r="K273" s="124"/>
      <c r="L273" s="116"/>
      <c r="M273" s="104"/>
      <c r="N273" s="69"/>
      <c r="P273" s="6"/>
      <c r="Q273" s="146"/>
      <c r="R273" s="9"/>
      <c r="S273" s="13"/>
      <c r="T273" s="97"/>
      <c r="U273" s="13"/>
      <c r="V273" s="95"/>
      <c r="W273" s="25"/>
    </row>
    <row r="274" spans="1:23" x14ac:dyDescent="0.25">
      <c r="A274" s="1"/>
      <c r="B274" s="1"/>
      <c r="C274" s="1"/>
      <c r="D274" s="4"/>
      <c r="E274" s="75"/>
      <c r="F274" s="76"/>
      <c r="G274" s="78"/>
      <c r="H274" s="77"/>
      <c r="I274" s="77"/>
      <c r="J274" s="109"/>
      <c r="K274" s="124"/>
      <c r="L274" s="116"/>
      <c r="M274" s="104"/>
      <c r="N274" s="69"/>
      <c r="P274" s="6"/>
      <c r="Q274" s="16"/>
      <c r="R274" s="8"/>
      <c r="S274" s="13"/>
      <c r="T274" s="13"/>
      <c r="U274" s="13"/>
      <c r="V274" s="95"/>
      <c r="W274" s="25"/>
    </row>
    <row r="275" spans="1:23" x14ac:dyDescent="0.25">
      <c r="A275" s="1"/>
      <c r="B275" s="1"/>
      <c r="C275" s="1"/>
      <c r="D275" s="4"/>
      <c r="E275" s="79"/>
      <c r="F275" s="74"/>
      <c r="G275" s="78"/>
      <c r="H275" s="77"/>
      <c r="I275" s="77"/>
      <c r="J275" s="109"/>
      <c r="K275" s="124"/>
      <c r="L275" s="116"/>
      <c r="M275" s="114"/>
      <c r="N275" s="66"/>
      <c r="O275" s="127"/>
      <c r="P275" s="6"/>
      <c r="Q275" s="16"/>
      <c r="R275" s="8"/>
      <c r="S275" s="13"/>
      <c r="T275" s="13"/>
      <c r="U275" s="13"/>
      <c r="V275" s="89"/>
      <c r="W275" s="25"/>
    </row>
    <row r="276" spans="1:23" x14ac:dyDescent="0.25">
      <c r="A276" s="1"/>
      <c r="B276" s="1"/>
      <c r="C276" s="1"/>
      <c r="D276" s="4"/>
      <c r="E276" s="79"/>
      <c r="F276" s="74"/>
      <c r="G276" s="78"/>
      <c r="H276" s="77"/>
      <c r="I276" s="77"/>
      <c r="J276" s="109"/>
      <c r="K276" s="124"/>
      <c r="L276" s="116"/>
      <c r="M276" s="104"/>
      <c r="N276" s="69"/>
      <c r="P276" s="6"/>
      <c r="Q276" s="16"/>
      <c r="R276" s="9"/>
      <c r="S276" s="13"/>
      <c r="T276" s="13"/>
      <c r="U276" s="13"/>
      <c r="V276" s="89"/>
      <c r="W276" s="25"/>
    </row>
    <row r="277" spans="1:23" x14ac:dyDescent="0.25">
      <c r="A277" s="1"/>
      <c r="B277" s="1"/>
      <c r="C277" s="1"/>
      <c r="D277" s="4"/>
      <c r="E277" s="79"/>
      <c r="F277" s="74"/>
    </row>
  </sheetData>
  <mergeCells count="10">
    <mergeCell ref="S87:U87"/>
    <mergeCell ref="S48:U48"/>
    <mergeCell ref="S25:U25"/>
    <mergeCell ref="A1:D1"/>
    <mergeCell ref="E1:H1"/>
    <mergeCell ref="M1:N1"/>
    <mergeCell ref="P1:Q1"/>
    <mergeCell ref="R1:R2"/>
    <mergeCell ref="S1:U1"/>
    <mergeCell ref="S44:U4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M76"/>
  <sheetViews>
    <sheetView topLeftCell="A7" workbookViewId="0">
      <selection activeCell="C64" sqref="C64:D64"/>
    </sheetView>
  </sheetViews>
  <sheetFormatPr defaultColWidth="8.85546875" defaultRowHeight="15" x14ac:dyDescent="0.25"/>
  <cols>
    <col min="1" max="1" width="10.7109375" customWidth="1"/>
    <col min="2" max="2" width="7.42578125" style="19" customWidth="1"/>
    <col min="3" max="3" width="13.140625" customWidth="1"/>
    <col min="4" max="4" width="23.42578125" style="122" customWidth="1"/>
    <col min="5" max="5" width="8.85546875" style="19"/>
    <col min="7" max="8" width="8.85546875" style="19"/>
    <col min="9" max="9" width="22.28515625" customWidth="1"/>
    <col min="10" max="10" width="9.140625" customWidth="1"/>
  </cols>
  <sheetData>
    <row r="1" spans="1:13" ht="18.75" x14ac:dyDescent="0.3">
      <c r="A1" s="24"/>
      <c r="B1" s="24"/>
      <c r="C1" s="24"/>
      <c r="D1" s="121" t="s">
        <v>146</v>
      </c>
      <c r="E1" s="24"/>
      <c r="I1" s="40"/>
      <c r="J1" s="19"/>
    </row>
    <row r="2" spans="1:13" x14ac:dyDescent="0.25">
      <c r="A2" s="14" t="s">
        <v>147</v>
      </c>
      <c r="B2" s="14"/>
      <c r="C2" s="11"/>
      <c r="D2" s="123"/>
      <c r="E2" s="11"/>
      <c r="F2" s="22"/>
      <c r="G2" s="20" t="s">
        <v>148</v>
      </c>
      <c r="H2" s="20"/>
      <c r="I2" s="38"/>
      <c r="J2" s="39"/>
      <c r="M2" t="s">
        <v>149</v>
      </c>
    </row>
    <row r="3" spans="1:13" x14ac:dyDescent="0.25">
      <c r="A3" s="35" t="s">
        <v>71</v>
      </c>
      <c r="B3" s="35" t="s">
        <v>11</v>
      </c>
      <c r="C3" s="35" t="s">
        <v>72</v>
      </c>
      <c r="D3" s="120" t="s">
        <v>73</v>
      </c>
      <c r="E3" s="36" t="s">
        <v>74</v>
      </c>
      <c r="G3" s="35" t="s">
        <v>71</v>
      </c>
      <c r="H3" s="35" t="s">
        <v>11</v>
      </c>
      <c r="I3" s="41" t="s">
        <v>150</v>
      </c>
      <c r="J3" s="21" t="s">
        <v>74</v>
      </c>
      <c r="M3" t="s">
        <v>151</v>
      </c>
    </row>
    <row r="4" spans="1:13" ht="30" x14ac:dyDescent="0.25">
      <c r="A4" s="37">
        <v>10091</v>
      </c>
      <c r="B4" s="24" t="s">
        <v>32</v>
      </c>
      <c r="C4" s="479" t="s">
        <v>152</v>
      </c>
      <c r="D4" s="477">
        <v>43294</v>
      </c>
      <c r="E4" s="27">
        <v>12.966746000000001</v>
      </c>
      <c r="F4" s="134"/>
      <c r="G4" s="23">
        <v>10947</v>
      </c>
      <c r="H4" s="24" t="s">
        <v>32</v>
      </c>
      <c r="I4" s="24" t="s">
        <v>153</v>
      </c>
      <c r="J4" s="27">
        <v>12.966746000000001</v>
      </c>
      <c r="K4" s="177"/>
      <c r="M4" t="s">
        <v>154</v>
      </c>
    </row>
    <row r="5" spans="1:13" ht="30" x14ac:dyDescent="0.25">
      <c r="A5" s="37">
        <v>10107</v>
      </c>
      <c r="B5" s="24" t="s">
        <v>32</v>
      </c>
      <c r="C5" s="480" t="s">
        <v>155</v>
      </c>
      <c r="D5" s="477">
        <v>43060</v>
      </c>
      <c r="E5" s="27">
        <v>2.5773470000000001</v>
      </c>
      <c r="F5" s="134"/>
      <c r="G5" s="24">
        <v>10957</v>
      </c>
      <c r="H5" s="24" t="s">
        <v>32</v>
      </c>
      <c r="I5" s="24" t="s">
        <v>156</v>
      </c>
      <c r="J5" s="27">
        <v>2.5773470000000001</v>
      </c>
      <c r="K5" s="177"/>
      <c r="M5" t="s">
        <v>157</v>
      </c>
    </row>
    <row r="6" spans="1:13" x14ac:dyDescent="0.25">
      <c r="A6" s="37">
        <v>10946</v>
      </c>
      <c r="B6" s="24" t="s">
        <v>32</v>
      </c>
      <c r="C6" s="26" t="s">
        <v>158</v>
      </c>
      <c r="D6" s="26">
        <v>24990</v>
      </c>
      <c r="E6" s="25">
        <v>46.3309</v>
      </c>
      <c r="F6" s="134"/>
      <c r="G6" s="23">
        <v>10975</v>
      </c>
      <c r="H6" s="24" t="s">
        <v>32</v>
      </c>
      <c r="I6" s="24" t="s">
        <v>159</v>
      </c>
      <c r="J6" s="27">
        <v>46.3309</v>
      </c>
      <c r="K6" s="177"/>
    </row>
    <row r="7" spans="1:13" x14ac:dyDescent="0.25">
      <c r="A7" s="37">
        <v>10946</v>
      </c>
      <c r="B7" s="24" t="s">
        <v>32</v>
      </c>
      <c r="C7" s="26" t="s">
        <v>160</v>
      </c>
      <c r="D7" s="26">
        <v>38639</v>
      </c>
      <c r="E7" s="25">
        <v>1.4190309999999999</v>
      </c>
      <c r="F7" s="134"/>
      <c r="G7" s="23">
        <v>10976</v>
      </c>
      <c r="H7" s="24" t="s">
        <v>32</v>
      </c>
      <c r="I7" s="24" t="s">
        <v>161</v>
      </c>
      <c r="J7" s="27">
        <v>1.4190309999999999</v>
      </c>
      <c r="K7" s="177"/>
    </row>
    <row r="8" spans="1:13" x14ac:dyDescent="0.25">
      <c r="A8" s="37">
        <v>10946</v>
      </c>
      <c r="B8" s="24" t="s">
        <v>32</v>
      </c>
      <c r="C8" s="26" t="s">
        <v>158</v>
      </c>
      <c r="D8" s="26">
        <v>24990</v>
      </c>
      <c r="E8" s="25">
        <v>1.4190309999999999</v>
      </c>
      <c r="F8" s="134"/>
      <c r="G8" s="156"/>
      <c r="H8" s="159"/>
      <c r="I8" s="129"/>
      <c r="J8" s="136">
        <f>SUM(J4:J7)</f>
        <v>63.294024</v>
      </c>
      <c r="K8" s="177"/>
    </row>
    <row r="9" spans="1:13" x14ac:dyDescent="0.25">
      <c r="A9" s="37"/>
      <c r="B9" s="24"/>
      <c r="C9" s="26"/>
      <c r="D9" s="26"/>
      <c r="E9" s="27">
        <f>SUM(E6:E8)</f>
        <v>49.168961999999993</v>
      </c>
      <c r="F9" s="134"/>
      <c r="G9" s="23">
        <v>8148</v>
      </c>
      <c r="H9" s="24" t="s">
        <v>59</v>
      </c>
      <c r="I9" s="23" t="s">
        <v>162</v>
      </c>
      <c r="J9" s="27">
        <v>0.85848000000000002</v>
      </c>
      <c r="K9" s="177"/>
    </row>
    <row r="10" spans="1:13" ht="30" x14ac:dyDescent="0.25">
      <c r="A10" s="37">
        <v>10947</v>
      </c>
      <c r="B10" s="24" t="s">
        <v>32</v>
      </c>
      <c r="C10" s="86" t="s">
        <v>153</v>
      </c>
      <c r="D10" s="477">
        <v>43031</v>
      </c>
      <c r="E10" s="25">
        <v>10.692731999999999</v>
      </c>
      <c r="F10" s="134"/>
      <c r="G10" s="23">
        <v>8820</v>
      </c>
      <c r="H10" s="24" t="s">
        <v>59</v>
      </c>
      <c r="I10" s="23" t="s">
        <v>163</v>
      </c>
      <c r="J10" s="27">
        <v>4.674944</v>
      </c>
    </row>
    <row r="11" spans="1:13" x14ac:dyDescent="0.25">
      <c r="A11" s="37">
        <v>10947</v>
      </c>
      <c r="B11" s="24" t="s">
        <v>32</v>
      </c>
      <c r="C11" s="24" t="s">
        <v>158</v>
      </c>
      <c r="D11" s="26">
        <v>27181</v>
      </c>
      <c r="E11" s="25">
        <v>18.275835000000001</v>
      </c>
      <c r="F11" s="134"/>
      <c r="G11" s="23">
        <v>9849</v>
      </c>
      <c r="H11" s="24" t="s">
        <v>59</v>
      </c>
      <c r="I11" s="23" t="s">
        <v>164</v>
      </c>
      <c r="J11" s="27">
        <v>20.033548</v>
      </c>
    </row>
    <row r="12" spans="1:13" x14ac:dyDescent="0.25">
      <c r="A12" s="37"/>
      <c r="B12" s="24"/>
      <c r="C12" s="24"/>
      <c r="D12" s="26"/>
      <c r="E12" s="27">
        <f>SUM(E10:E11)</f>
        <v>28.968567</v>
      </c>
      <c r="F12" s="134"/>
      <c r="G12" s="23">
        <v>9851</v>
      </c>
      <c r="H12" s="24" t="s">
        <v>59</v>
      </c>
      <c r="I12" s="23" t="s">
        <v>165</v>
      </c>
      <c r="J12" s="25">
        <v>5.0690270000000002</v>
      </c>
      <c r="K12" s="177"/>
    </row>
    <row r="13" spans="1:13" x14ac:dyDescent="0.25">
      <c r="A13" s="37">
        <v>10950</v>
      </c>
      <c r="B13" s="24" t="s">
        <v>32</v>
      </c>
      <c r="C13" s="24" t="s">
        <v>166</v>
      </c>
      <c r="D13" s="26">
        <v>37469</v>
      </c>
      <c r="E13" s="27">
        <v>1.2331780000000001</v>
      </c>
      <c r="F13" s="134"/>
      <c r="G13" s="23">
        <v>9851</v>
      </c>
      <c r="H13" s="24" t="s">
        <v>59</v>
      </c>
      <c r="I13" s="23" t="s">
        <v>167</v>
      </c>
      <c r="J13" s="25">
        <v>0.413663</v>
      </c>
      <c r="K13" s="177"/>
    </row>
    <row r="14" spans="1:13" x14ac:dyDescent="0.25">
      <c r="A14" s="37">
        <v>10957</v>
      </c>
      <c r="B14" s="24" t="s">
        <v>32</v>
      </c>
      <c r="C14" s="24" t="s">
        <v>168</v>
      </c>
      <c r="D14" s="26">
        <v>42002</v>
      </c>
      <c r="E14" s="27">
        <v>0.18808900000000001</v>
      </c>
      <c r="F14" s="134"/>
      <c r="G14" s="23"/>
      <c r="H14" s="24"/>
      <c r="I14" s="23"/>
      <c r="J14" s="27">
        <f>SUM(J12:J13)</f>
        <v>5.4826899999999998</v>
      </c>
      <c r="K14" s="177"/>
    </row>
    <row r="15" spans="1:13" x14ac:dyDescent="0.25">
      <c r="A15" s="37">
        <v>10973</v>
      </c>
      <c r="B15" s="24" t="s">
        <v>32</v>
      </c>
      <c r="C15" s="24" t="s">
        <v>168</v>
      </c>
      <c r="D15" s="26">
        <v>31444</v>
      </c>
      <c r="E15" s="27">
        <v>10.020156</v>
      </c>
      <c r="F15" s="134"/>
      <c r="G15" s="129"/>
      <c r="H15" s="159"/>
      <c r="I15" s="129"/>
      <c r="J15" s="136">
        <f>SUM(J9:J11)+J14</f>
        <v>31.049661999999998</v>
      </c>
      <c r="K15" s="177"/>
    </row>
    <row r="16" spans="1:13" x14ac:dyDescent="0.25">
      <c r="A16" s="37">
        <v>10975</v>
      </c>
      <c r="B16" s="24" t="s">
        <v>32</v>
      </c>
      <c r="C16" s="24" t="s">
        <v>168</v>
      </c>
      <c r="D16" s="26">
        <v>43313</v>
      </c>
      <c r="E16" s="27">
        <v>1.996397</v>
      </c>
      <c r="F16" s="134"/>
      <c r="G16" s="24">
        <v>21687</v>
      </c>
      <c r="H16" s="24" t="s">
        <v>133</v>
      </c>
      <c r="I16" s="24" t="s">
        <v>169</v>
      </c>
      <c r="J16" s="27">
        <v>4.9011709999999997</v>
      </c>
      <c r="K16" s="177"/>
    </row>
    <row r="17" spans="1:11" x14ac:dyDescent="0.25">
      <c r="A17" s="37">
        <v>10976</v>
      </c>
      <c r="B17" s="24" t="s">
        <v>32</v>
      </c>
      <c r="C17" s="24" t="s">
        <v>170</v>
      </c>
      <c r="D17" s="26">
        <v>35278</v>
      </c>
      <c r="E17" s="25">
        <v>0.25502599999999997</v>
      </c>
      <c r="F17" s="134"/>
      <c r="G17" s="24">
        <v>21688</v>
      </c>
      <c r="H17" s="24" t="s">
        <v>133</v>
      </c>
      <c r="I17" s="24" t="s">
        <v>171</v>
      </c>
      <c r="J17" s="27">
        <v>8.8588710000000006</v>
      </c>
      <c r="K17" s="177"/>
    </row>
    <row r="18" spans="1:11" x14ac:dyDescent="0.25">
      <c r="A18" s="37">
        <v>10976</v>
      </c>
      <c r="B18" s="24" t="s">
        <v>32</v>
      </c>
      <c r="C18" s="24" t="s">
        <v>170</v>
      </c>
      <c r="D18" s="26">
        <v>35309</v>
      </c>
      <c r="E18" s="25">
        <v>1.415516</v>
      </c>
      <c r="F18" s="134"/>
      <c r="G18" s="24">
        <v>21693</v>
      </c>
      <c r="H18" s="24" t="s">
        <v>133</v>
      </c>
      <c r="I18" s="24" t="s">
        <v>172</v>
      </c>
      <c r="J18" s="27">
        <v>0.13342499999999999</v>
      </c>
      <c r="K18" s="177"/>
    </row>
    <row r="19" spans="1:11" x14ac:dyDescent="0.25">
      <c r="A19" s="37">
        <v>10976</v>
      </c>
      <c r="B19" s="24" t="s">
        <v>32</v>
      </c>
      <c r="C19" s="21" t="s">
        <v>168</v>
      </c>
      <c r="D19" s="477">
        <v>43087</v>
      </c>
      <c r="E19" s="25">
        <v>11.454343</v>
      </c>
      <c r="F19" s="134"/>
      <c r="G19" s="23">
        <v>21697</v>
      </c>
      <c r="H19" s="24" t="s">
        <v>133</v>
      </c>
      <c r="I19" s="23" t="s">
        <v>173</v>
      </c>
      <c r="J19" s="27">
        <v>2.1451720000000001</v>
      </c>
      <c r="K19" s="177"/>
    </row>
    <row r="20" spans="1:11" x14ac:dyDescent="0.25">
      <c r="A20" s="37"/>
      <c r="B20" s="24"/>
      <c r="C20" s="26"/>
      <c r="D20" s="26"/>
      <c r="E20" s="27">
        <f>SUM(E17:E19)</f>
        <v>13.124884999999999</v>
      </c>
      <c r="F20" s="134"/>
      <c r="G20" s="23">
        <v>21698</v>
      </c>
      <c r="H20" s="24" t="s">
        <v>133</v>
      </c>
      <c r="I20" s="23" t="s">
        <v>173</v>
      </c>
      <c r="J20" s="27">
        <v>7.1485900000000004</v>
      </c>
      <c r="K20" s="177"/>
    </row>
    <row r="21" spans="1:11" x14ac:dyDescent="0.25">
      <c r="A21" s="129"/>
      <c r="B21" s="159"/>
      <c r="C21" s="129"/>
      <c r="D21" s="153"/>
      <c r="E21" s="136">
        <f>SUM(E4:E5)+E9+(SUM(E12:E16))+E20</f>
        <v>120.244327</v>
      </c>
      <c r="G21" s="24">
        <v>21700</v>
      </c>
      <c r="H21" s="24" t="s">
        <v>133</v>
      </c>
      <c r="I21" s="24" t="s">
        <v>173</v>
      </c>
      <c r="J21" s="25">
        <v>4.5913919999999999</v>
      </c>
    </row>
    <row r="22" spans="1:11" x14ac:dyDescent="0.25">
      <c r="A22" s="37">
        <v>8151</v>
      </c>
      <c r="B22" s="24" t="s">
        <v>59</v>
      </c>
      <c r="C22" s="26" t="s">
        <v>174</v>
      </c>
      <c r="D22" s="26">
        <v>31291</v>
      </c>
      <c r="E22" s="27">
        <v>0.99967099999999998</v>
      </c>
      <c r="G22" s="24">
        <v>21700</v>
      </c>
      <c r="H22" s="24" t="s">
        <v>133</v>
      </c>
      <c r="I22" s="24" t="s">
        <v>173</v>
      </c>
      <c r="J22" s="25">
        <v>0.68852100000000005</v>
      </c>
    </row>
    <row r="23" spans="1:11" x14ac:dyDescent="0.25">
      <c r="A23" s="37">
        <v>8160</v>
      </c>
      <c r="B23" s="24" t="s">
        <v>59</v>
      </c>
      <c r="C23" s="26" t="s">
        <v>175</v>
      </c>
      <c r="D23" s="26">
        <v>39048</v>
      </c>
      <c r="E23" s="25">
        <v>3.507056</v>
      </c>
      <c r="G23" s="24"/>
      <c r="H23" s="24"/>
      <c r="I23" s="24"/>
      <c r="J23" s="27">
        <f>SUM(J21:J22)</f>
        <v>5.2799129999999996</v>
      </c>
    </row>
    <row r="24" spans="1:11" x14ac:dyDescent="0.25">
      <c r="A24" s="37">
        <v>8160</v>
      </c>
      <c r="B24" s="24" t="s">
        <v>59</v>
      </c>
      <c r="C24" s="26" t="s">
        <v>176</v>
      </c>
      <c r="D24" s="26">
        <v>39064</v>
      </c>
      <c r="E24" s="25">
        <v>3.5716559999999999</v>
      </c>
      <c r="G24" s="24">
        <v>21701</v>
      </c>
      <c r="H24" s="24" t="s">
        <v>133</v>
      </c>
      <c r="I24" s="24" t="s">
        <v>177</v>
      </c>
      <c r="J24" s="27">
        <v>2.8967640000000001</v>
      </c>
    </row>
    <row r="25" spans="1:11" x14ac:dyDescent="0.25">
      <c r="A25" s="37"/>
      <c r="B25" s="24"/>
      <c r="C25" s="26"/>
      <c r="D25" s="26"/>
      <c r="E25" s="27">
        <f>SUM(E23:E24)</f>
        <v>7.0787119999999994</v>
      </c>
      <c r="G25" s="24">
        <v>21702</v>
      </c>
      <c r="H25" s="24" t="s">
        <v>133</v>
      </c>
      <c r="I25" s="24" t="s">
        <v>178</v>
      </c>
      <c r="J25" s="27">
        <v>2.0856270000000001</v>
      </c>
    </row>
    <row r="26" spans="1:11" x14ac:dyDescent="0.25">
      <c r="A26" s="37">
        <v>8803</v>
      </c>
      <c r="B26" s="24" t="s">
        <v>59</v>
      </c>
      <c r="C26" s="26" t="s">
        <v>179</v>
      </c>
      <c r="D26" s="26">
        <v>35916</v>
      </c>
      <c r="E26" s="25">
        <v>2.9503330000000001</v>
      </c>
      <c r="G26" s="24">
        <v>21703</v>
      </c>
      <c r="H26" s="24" t="s">
        <v>133</v>
      </c>
      <c r="I26" s="24" t="s">
        <v>177</v>
      </c>
      <c r="J26" s="25">
        <v>1.183981</v>
      </c>
    </row>
    <row r="27" spans="1:11" x14ac:dyDescent="0.25">
      <c r="A27" s="37">
        <v>8803</v>
      </c>
      <c r="B27" s="24" t="s">
        <v>59</v>
      </c>
      <c r="C27" s="26" t="s">
        <v>180</v>
      </c>
      <c r="D27" s="26">
        <v>36008</v>
      </c>
      <c r="E27" s="25">
        <v>8.1891000000000005E-2</v>
      </c>
      <c r="G27" s="24">
        <v>21703</v>
      </c>
      <c r="H27" s="24" t="s">
        <v>133</v>
      </c>
      <c r="I27" s="24" t="s">
        <v>181</v>
      </c>
      <c r="J27" s="25">
        <v>8.7179780000000004</v>
      </c>
    </row>
    <row r="28" spans="1:11" x14ac:dyDescent="0.25">
      <c r="A28" s="37"/>
      <c r="B28" s="24"/>
      <c r="C28" s="26"/>
      <c r="D28" s="26"/>
      <c r="E28" s="27">
        <f>SUM(E26:E27)</f>
        <v>3.0322240000000003</v>
      </c>
      <c r="G28" s="24">
        <v>21703</v>
      </c>
      <c r="H28" s="24" t="s">
        <v>133</v>
      </c>
      <c r="I28" s="24" t="s">
        <v>177</v>
      </c>
      <c r="J28" s="25">
        <v>3.812176</v>
      </c>
    </row>
    <row r="29" spans="1:11" x14ac:dyDescent="0.25">
      <c r="A29" s="37">
        <v>8804</v>
      </c>
      <c r="B29" s="24" t="s">
        <v>59</v>
      </c>
      <c r="C29" s="26" t="s">
        <v>182</v>
      </c>
      <c r="D29" s="26">
        <v>38261</v>
      </c>
      <c r="E29" s="27">
        <v>3.01905</v>
      </c>
      <c r="G29" s="24">
        <v>21703</v>
      </c>
      <c r="H29" s="24" t="s">
        <v>133</v>
      </c>
      <c r="I29" s="24" t="s">
        <v>181</v>
      </c>
      <c r="J29" s="25">
        <v>4.0001509999999998</v>
      </c>
    </row>
    <row r="30" spans="1:11" x14ac:dyDescent="0.25">
      <c r="A30" s="37">
        <v>8807</v>
      </c>
      <c r="B30" s="24" t="s">
        <v>59</v>
      </c>
      <c r="C30" s="26" t="s">
        <v>158</v>
      </c>
      <c r="D30" s="26">
        <v>27181</v>
      </c>
      <c r="E30" s="25">
        <v>8.4155080000000009</v>
      </c>
      <c r="G30" s="24"/>
      <c r="H30" s="24"/>
      <c r="I30" s="24"/>
      <c r="J30" s="205">
        <f>SUM(J26:J29)</f>
        <v>17.714285999999998</v>
      </c>
    </row>
    <row r="31" spans="1:11" x14ac:dyDescent="0.25">
      <c r="A31" s="37">
        <v>8807</v>
      </c>
      <c r="B31" s="24" t="s">
        <v>59</v>
      </c>
      <c r="C31" s="26" t="s">
        <v>158</v>
      </c>
      <c r="D31" s="26">
        <v>24259</v>
      </c>
      <c r="E31" s="25">
        <v>0.54418900000000003</v>
      </c>
      <c r="G31" s="24">
        <v>21704</v>
      </c>
      <c r="H31" s="24" t="s">
        <v>133</v>
      </c>
      <c r="I31" s="24" t="s">
        <v>183</v>
      </c>
      <c r="J31" s="25">
        <v>8.5266999999999996E-2</v>
      </c>
    </row>
    <row r="32" spans="1:11" x14ac:dyDescent="0.25">
      <c r="A32" s="37"/>
      <c r="B32" s="24"/>
      <c r="C32" s="26"/>
      <c r="D32" s="26"/>
      <c r="E32" s="27">
        <f>SUM(E30:E31)</f>
        <v>8.9596970000000002</v>
      </c>
      <c r="G32" s="24">
        <v>21704</v>
      </c>
      <c r="H32" s="24" t="s">
        <v>133</v>
      </c>
      <c r="I32" s="24" t="s">
        <v>184</v>
      </c>
      <c r="J32" s="25">
        <v>18.35924</v>
      </c>
    </row>
    <row r="33" spans="1:10" x14ac:dyDescent="0.25">
      <c r="A33" s="37">
        <v>8848</v>
      </c>
      <c r="B33" s="24" t="s">
        <v>59</v>
      </c>
      <c r="C33" s="26" t="s">
        <v>185</v>
      </c>
      <c r="D33" s="26">
        <v>36039</v>
      </c>
      <c r="E33" s="27">
        <v>0.104694</v>
      </c>
      <c r="G33" s="24"/>
      <c r="H33" s="24"/>
      <c r="I33" s="178"/>
      <c r="J33" s="205">
        <f>SUM(J31:J32)</f>
        <v>18.444507000000002</v>
      </c>
    </row>
    <row r="34" spans="1:10" x14ac:dyDescent="0.25">
      <c r="A34" s="37">
        <v>9850</v>
      </c>
      <c r="B34" s="24" t="s">
        <v>59</v>
      </c>
      <c r="C34" s="26" t="s">
        <v>186</v>
      </c>
      <c r="D34" s="26">
        <v>37865</v>
      </c>
      <c r="E34" s="25">
        <v>0.39700200000000002</v>
      </c>
      <c r="G34" s="129"/>
      <c r="H34" s="159"/>
      <c r="I34" s="129"/>
      <c r="J34" s="136">
        <f>SUM(J16:J20)+J23+J24+J25+J30+J33</f>
        <v>69.608326000000005</v>
      </c>
    </row>
    <row r="35" spans="1:10" x14ac:dyDescent="0.25">
      <c r="A35" s="37">
        <v>9850</v>
      </c>
      <c r="B35" s="24" t="s">
        <v>59</v>
      </c>
      <c r="C35" s="26"/>
      <c r="D35" s="26">
        <v>26085</v>
      </c>
      <c r="E35" s="25">
        <v>2.5494690000000002</v>
      </c>
    </row>
    <row r="36" spans="1:10" x14ac:dyDescent="0.25">
      <c r="A36" s="37"/>
      <c r="B36" s="24"/>
      <c r="C36" s="26"/>
      <c r="D36" s="26"/>
      <c r="E36" s="27">
        <f>SUM(E34:E35)</f>
        <v>2.9464710000000003</v>
      </c>
    </row>
    <row r="37" spans="1:10" x14ac:dyDescent="0.25">
      <c r="A37" s="37">
        <v>9851</v>
      </c>
      <c r="B37" s="24" t="s">
        <v>59</v>
      </c>
      <c r="C37" s="26" t="s">
        <v>160</v>
      </c>
      <c r="D37" s="26">
        <v>34516</v>
      </c>
      <c r="E37" s="25">
        <v>7.6209600000000002</v>
      </c>
    </row>
    <row r="38" spans="1:10" x14ac:dyDescent="0.25">
      <c r="A38" s="37">
        <v>9851</v>
      </c>
      <c r="B38" s="24" t="s">
        <v>59</v>
      </c>
      <c r="C38" s="26" t="s">
        <v>165</v>
      </c>
      <c r="D38" s="26">
        <v>42828</v>
      </c>
      <c r="E38" s="25">
        <v>1.997485</v>
      </c>
    </row>
    <row r="39" spans="1:10" x14ac:dyDescent="0.25">
      <c r="A39" s="37">
        <v>9851</v>
      </c>
      <c r="B39" s="24" t="s">
        <v>59</v>
      </c>
      <c r="C39" s="26" t="s">
        <v>160</v>
      </c>
      <c r="D39" s="26">
        <v>35278</v>
      </c>
      <c r="E39" s="25">
        <v>4.0606260000000001</v>
      </c>
    </row>
    <row r="40" spans="1:10" x14ac:dyDescent="0.25">
      <c r="A40" s="37">
        <v>9851</v>
      </c>
      <c r="B40" s="24" t="s">
        <v>59</v>
      </c>
      <c r="C40" s="26" t="s">
        <v>160</v>
      </c>
      <c r="D40" s="26">
        <v>34516</v>
      </c>
      <c r="E40" s="25">
        <v>3.0794039999999998</v>
      </c>
    </row>
    <row r="41" spans="1:10" x14ac:dyDescent="0.25">
      <c r="A41" s="37">
        <v>9851</v>
      </c>
      <c r="B41" s="24" t="s">
        <v>59</v>
      </c>
      <c r="C41" s="477" t="s">
        <v>165</v>
      </c>
      <c r="D41" s="477">
        <v>42828</v>
      </c>
      <c r="E41" s="25">
        <v>3.0794039999999998</v>
      </c>
    </row>
    <row r="42" spans="1:10" x14ac:dyDescent="0.25">
      <c r="A42" s="37"/>
      <c r="B42" s="24"/>
      <c r="C42" s="26"/>
      <c r="D42" s="26"/>
      <c r="E42" s="27">
        <f>SUM(E37:E41)</f>
        <v>19.837879000000001</v>
      </c>
    </row>
    <row r="43" spans="1:10" x14ac:dyDescent="0.25">
      <c r="A43" s="37">
        <v>9859</v>
      </c>
      <c r="B43" s="24" t="s">
        <v>59</v>
      </c>
      <c r="C43" s="26" t="s">
        <v>187</v>
      </c>
      <c r="D43" s="26">
        <v>32813</v>
      </c>
      <c r="E43" s="27">
        <v>3.9147280000000002</v>
      </c>
    </row>
    <row r="44" spans="1:10" x14ac:dyDescent="0.25">
      <c r="A44" s="161"/>
      <c r="B44" s="159"/>
      <c r="C44" s="161"/>
      <c r="D44" s="125"/>
      <c r="E44" s="136">
        <f>E22+E25+E28+E29+E32+E33+E36+E42+E43</f>
        <v>49.893125999999995</v>
      </c>
    </row>
    <row r="45" spans="1:10" x14ac:dyDescent="0.25">
      <c r="A45" s="178">
        <v>21649</v>
      </c>
      <c r="B45" s="24" t="s">
        <v>133</v>
      </c>
      <c r="C45" s="178" t="s">
        <v>188</v>
      </c>
      <c r="D45" s="26">
        <v>31868</v>
      </c>
      <c r="E45" s="27">
        <v>1.2225220000000001</v>
      </c>
    </row>
    <row r="46" spans="1:10" x14ac:dyDescent="0.25">
      <c r="A46" s="178">
        <v>21684</v>
      </c>
      <c r="B46" s="24" t="s">
        <v>133</v>
      </c>
      <c r="C46" s="178" t="s">
        <v>189</v>
      </c>
      <c r="D46" s="26">
        <v>37681</v>
      </c>
      <c r="E46" s="25">
        <v>6.1844299999999999</v>
      </c>
    </row>
    <row r="47" spans="1:10" x14ac:dyDescent="0.25">
      <c r="A47" s="178">
        <v>21684</v>
      </c>
      <c r="B47" s="24" t="s">
        <v>133</v>
      </c>
      <c r="C47" s="178" t="s">
        <v>190</v>
      </c>
      <c r="D47" s="26">
        <v>37302</v>
      </c>
      <c r="E47" s="25">
        <v>1.1601509999999999</v>
      </c>
    </row>
    <row r="48" spans="1:10" x14ac:dyDescent="0.25">
      <c r="A48" s="178"/>
      <c r="B48" s="24"/>
      <c r="C48" s="178"/>
      <c r="D48" s="24"/>
      <c r="E48" s="27">
        <f>SUM(E46:E47)</f>
        <v>7.3445809999999998</v>
      </c>
    </row>
    <row r="49" spans="1:5" x14ac:dyDescent="0.25">
      <c r="A49" s="178">
        <v>21685</v>
      </c>
      <c r="B49" s="24" t="s">
        <v>133</v>
      </c>
      <c r="C49" s="178" t="s">
        <v>189</v>
      </c>
      <c r="D49" s="26">
        <v>37681</v>
      </c>
      <c r="E49" s="27">
        <v>6.1212039999999996</v>
      </c>
    </row>
    <row r="50" spans="1:5" x14ac:dyDescent="0.25">
      <c r="A50" s="178">
        <v>21688</v>
      </c>
      <c r="B50" s="24" t="s">
        <v>133</v>
      </c>
      <c r="C50" s="178" t="s">
        <v>191</v>
      </c>
      <c r="D50" s="26">
        <v>36770</v>
      </c>
      <c r="E50" s="27">
        <v>7.7758070000000004</v>
      </c>
    </row>
    <row r="51" spans="1:5" x14ac:dyDescent="0.25">
      <c r="A51" s="178">
        <v>21691</v>
      </c>
      <c r="B51" s="24" t="s">
        <v>133</v>
      </c>
      <c r="C51" s="178" t="s">
        <v>192</v>
      </c>
      <c r="D51" s="26">
        <v>42016</v>
      </c>
      <c r="E51" s="27">
        <v>0.47178700000000001</v>
      </c>
    </row>
    <row r="52" spans="1:5" x14ac:dyDescent="0.25">
      <c r="A52" s="178">
        <v>21692</v>
      </c>
      <c r="B52" s="24" t="s">
        <v>133</v>
      </c>
      <c r="C52" s="178" t="s">
        <v>193</v>
      </c>
      <c r="D52" s="26">
        <v>37915</v>
      </c>
      <c r="E52" s="25">
        <v>4.9649159999999997</v>
      </c>
    </row>
    <row r="53" spans="1:5" x14ac:dyDescent="0.25">
      <c r="A53" s="178">
        <v>21692</v>
      </c>
      <c r="B53" s="24" t="s">
        <v>133</v>
      </c>
      <c r="C53" s="178" t="s">
        <v>194</v>
      </c>
      <c r="D53" s="26">
        <v>34243</v>
      </c>
      <c r="E53" s="25">
        <v>1.1883919999999999</v>
      </c>
    </row>
    <row r="54" spans="1:5" x14ac:dyDescent="0.25">
      <c r="A54" s="178"/>
      <c r="B54" s="24"/>
      <c r="C54" s="178"/>
      <c r="D54" s="24"/>
      <c r="E54" s="27">
        <f>SUM(E52:E53)</f>
        <v>6.1533079999999991</v>
      </c>
    </row>
    <row r="55" spans="1:5" x14ac:dyDescent="0.25">
      <c r="A55" s="178">
        <v>21693</v>
      </c>
      <c r="B55" s="24" t="s">
        <v>133</v>
      </c>
      <c r="C55" s="178" t="s">
        <v>195</v>
      </c>
      <c r="D55" s="26">
        <v>41988</v>
      </c>
      <c r="E55" s="27">
        <v>0.33160600000000001</v>
      </c>
    </row>
    <row r="56" spans="1:5" x14ac:dyDescent="0.25">
      <c r="A56" s="178">
        <v>21694</v>
      </c>
      <c r="B56" s="24" t="s">
        <v>133</v>
      </c>
      <c r="C56" s="178" t="s">
        <v>196</v>
      </c>
      <c r="D56" s="26">
        <v>38671</v>
      </c>
      <c r="E56" s="27">
        <v>0.23826</v>
      </c>
    </row>
    <row r="57" spans="1:5" x14ac:dyDescent="0.25">
      <c r="A57" s="178">
        <v>21698</v>
      </c>
      <c r="B57" s="24" t="s">
        <v>133</v>
      </c>
      <c r="C57" s="178" t="s">
        <v>197</v>
      </c>
      <c r="D57" s="26">
        <v>35339</v>
      </c>
      <c r="E57" s="27">
        <v>0.165631</v>
      </c>
    </row>
    <row r="58" spans="1:5" x14ac:dyDescent="0.25">
      <c r="A58" s="178">
        <v>21701</v>
      </c>
      <c r="B58" s="24" t="s">
        <v>133</v>
      </c>
      <c r="C58" s="178" t="s">
        <v>177</v>
      </c>
      <c r="D58" s="26">
        <v>43262</v>
      </c>
      <c r="E58" s="27">
        <v>2.8966780000000001</v>
      </c>
    </row>
    <row r="59" spans="1:5" x14ac:dyDescent="0.25">
      <c r="A59" s="178">
        <v>21703</v>
      </c>
      <c r="B59" s="24" t="s">
        <v>133</v>
      </c>
      <c r="C59" s="178" t="s">
        <v>198</v>
      </c>
      <c r="D59" s="26">
        <v>38671</v>
      </c>
      <c r="E59" s="25">
        <v>15.068429999999999</v>
      </c>
    </row>
    <row r="60" spans="1:5" x14ac:dyDescent="0.25">
      <c r="A60" s="178">
        <v>21703</v>
      </c>
      <c r="B60" s="24" t="s">
        <v>133</v>
      </c>
      <c r="C60" s="178" t="s">
        <v>199</v>
      </c>
      <c r="D60" s="26">
        <v>38671</v>
      </c>
      <c r="E60" s="25">
        <v>2.760405</v>
      </c>
    </row>
    <row r="61" spans="1:5" x14ac:dyDescent="0.25">
      <c r="A61" s="178">
        <v>21703</v>
      </c>
      <c r="B61" s="24" t="s">
        <v>133</v>
      </c>
      <c r="C61" s="138" t="s">
        <v>177</v>
      </c>
      <c r="D61" s="477">
        <v>43262</v>
      </c>
      <c r="E61" s="25">
        <v>1.183959</v>
      </c>
    </row>
    <row r="62" spans="1:5" x14ac:dyDescent="0.25">
      <c r="A62" s="178">
        <v>21703</v>
      </c>
      <c r="B62" s="24" t="s">
        <v>133</v>
      </c>
      <c r="C62" s="138" t="s">
        <v>181</v>
      </c>
      <c r="D62" s="477">
        <v>43262</v>
      </c>
      <c r="E62" s="25">
        <v>8.7176919999999996</v>
      </c>
    </row>
    <row r="63" spans="1:5" x14ac:dyDescent="0.25">
      <c r="A63" s="178">
        <v>21703</v>
      </c>
      <c r="B63" s="24" t="s">
        <v>133</v>
      </c>
      <c r="C63" s="178" t="s">
        <v>198</v>
      </c>
      <c r="D63" s="26">
        <v>38671</v>
      </c>
      <c r="E63" s="25">
        <v>3.8117079999999999</v>
      </c>
    </row>
    <row r="64" spans="1:5" x14ac:dyDescent="0.25">
      <c r="A64" s="178">
        <v>21703</v>
      </c>
      <c r="B64" s="24" t="s">
        <v>133</v>
      </c>
      <c r="C64" s="138" t="s">
        <v>177</v>
      </c>
      <c r="D64" s="477">
        <v>43262</v>
      </c>
      <c r="E64" s="25">
        <v>3.8117079999999999</v>
      </c>
    </row>
    <row r="65" spans="1:5" x14ac:dyDescent="0.25">
      <c r="A65" s="178">
        <v>21703</v>
      </c>
      <c r="B65" s="24" t="s">
        <v>133</v>
      </c>
      <c r="C65" s="178" t="s">
        <v>198</v>
      </c>
      <c r="D65" s="26">
        <v>38671</v>
      </c>
      <c r="E65" s="25">
        <v>4.0002389999999997</v>
      </c>
    </row>
    <row r="66" spans="1:5" x14ac:dyDescent="0.25">
      <c r="A66" s="178">
        <v>21703</v>
      </c>
      <c r="B66" s="24" t="s">
        <v>133</v>
      </c>
      <c r="C66" s="178" t="s">
        <v>181</v>
      </c>
      <c r="D66" s="26">
        <v>43262</v>
      </c>
      <c r="E66" s="25">
        <v>4.0002389999999997</v>
      </c>
    </row>
    <row r="67" spans="1:5" x14ac:dyDescent="0.25">
      <c r="A67" s="178"/>
      <c r="B67" s="24"/>
      <c r="C67" s="178"/>
      <c r="D67" s="24"/>
      <c r="E67" s="27">
        <f>SUM(E59:E66)</f>
        <v>43.354379999999999</v>
      </c>
    </row>
    <row r="68" spans="1:5" x14ac:dyDescent="0.25">
      <c r="A68" s="178">
        <v>21704</v>
      </c>
      <c r="B68" s="24" t="s">
        <v>133</v>
      </c>
      <c r="C68" s="178" t="s">
        <v>160</v>
      </c>
      <c r="D68" s="26">
        <v>36281</v>
      </c>
      <c r="E68" s="25">
        <v>12.991569999999999</v>
      </c>
    </row>
    <row r="69" spans="1:5" x14ac:dyDescent="0.25">
      <c r="A69" s="178">
        <v>21704</v>
      </c>
      <c r="B69" s="24" t="s">
        <v>133</v>
      </c>
      <c r="C69" s="178" t="s">
        <v>200</v>
      </c>
      <c r="D69" s="26">
        <v>36281</v>
      </c>
      <c r="E69" s="25">
        <v>1.6126069999999999</v>
      </c>
    </row>
    <row r="70" spans="1:5" x14ac:dyDescent="0.25">
      <c r="A70" s="178"/>
      <c r="B70" s="24"/>
      <c r="C70" s="178"/>
      <c r="D70" s="24"/>
      <c r="E70" s="27">
        <f>SUM(E68:E69)</f>
        <v>14.604177</v>
      </c>
    </row>
    <row r="71" spans="1:5" x14ac:dyDescent="0.25">
      <c r="A71" s="178">
        <v>21706</v>
      </c>
      <c r="B71" s="24" t="s">
        <v>133</v>
      </c>
      <c r="C71" s="178" t="s">
        <v>201</v>
      </c>
      <c r="D71" s="26">
        <v>37408</v>
      </c>
      <c r="E71" s="25">
        <v>0.175123</v>
      </c>
    </row>
    <row r="72" spans="1:5" x14ac:dyDescent="0.25">
      <c r="A72" s="178">
        <v>21706</v>
      </c>
      <c r="B72" s="24" t="s">
        <v>133</v>
      </c>
      <c r="C72" s="178" t="s">
        <v>202</v>
      </c>
      <c r="D72" s="26">
        <v>32843</v>
      </c>
      <c r="E72" s="25">
        <v>14.37993</v>
      </c>
    </row>
    <row r="73" spans="1:5" x14ac:dyDescent="0.25">
      <c r="A73" s="178"/>
      <c r="B73" s="24"/>
      <c r="C73" s="178"/>
      <c r="D73" s="24"/>
      <c r="E73" s="27">
        <f>SUM(E71:E72)</f>
        <v>14.555052999999999</v>
      </c>
    </row>
    <row r="74" spans="1:5" x14ac:dyDescent="0.25">
      <c r="A74" s="178">
        <v>21707</v>
      </c>
      <c r="B74" s="24" t="s">
        <v>133</v>
      </c>
      <c r="C74" s="178" t="s">
        <v>203</v>
      </c>
      <c r="D74" s="26">
        <v>41618</v>
      </c>
      <c r="E74" s="27">
        <v>5.5959880000000002</v>
      </c>
    </row>
    <row r="75" spans="1:5" x14ac:dyDescent="0.25">
      <c r="A75" s="178">
        <v>21712</v>
      </c>
      <c r="B75" s="24" t="s">
        <v>133</v>
      </c>
      <c r="C75" s="178" t="s">
        <v>160</v>
      </c>
      <c r="D75" s="26">
        <v>32690</v>
      </c>
      <c r="E75" s="27">
        <v>2.8173710000000001</v>
      </c>
    </row>
    <row r="76" spans="1:5" x14ac:dyDescent="0.25">
      <c r="A76" s="161"/>
      <c r="B76" s="159"/>
      <c r="C76" s="161"/>
      <c r="D76" s="125"/>
      <c r="E76" s="136">
        <f>E45+E48+E49+E50+E51+E5+E54+E55+E56+E57+E58+E67+E70+E73+E74+E75</f>
        <v>116.22569999999999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MK277"/>
  <sheetViews>
    <sheetView workbookViewId="0">
      <selection activeCell="AB13" sqref="AB13"/>
    </sheetView>
  </sheetViews>
  <sheetFormatPr defaultColWidth="8.85546875" defaultRowHeight="15" x14ac:dyDescent="0.25"/>
  <cols>
    <col min="2" max="3" width="9.140625" customWidth="1"/>
    <col min="5" max="5" width="18.140625" style="82" customWidth="1"/>
    <col min="6" max="6" width="9.140625" style="82" customWidth="1"/>
    <col min="7" max="7" width="19" style="82" customWidth="1"/>
    <col min="8" max="8" width="9.140625" style="82" customWidth="1"/>
    <col min="9" max="9" width="14.42578125" style="82" customWidth="1"/>
    <col min="10" max="10" width="8.85546875" style="112" customWidth="1"/>
    <col min="11" max="11" width="9.140625" style="180" customWidth="1"/>
    <col min="12" max="12" width="9.140625" style="119" customWidth="1"/>
    <col min="13" max="13" width="15.140625" style="19" customWidth="1"/>
    <col min="14" max="14" width="9.140625" style="19" customWidth="1"/>
    <col min="15" max="15" width="9.140625" style="166" customWidth="1"/>
    <col min="16" max="16" width="9.140625" style="18" customWidth="1"/>
    <col min="17" max="17" width="12.140625" customWidth="1"/>
    <col min="18" max="18" width="9.140625" customWidth="1"/>
    <col min="19" max="21" width="9.140625" style="11" customWidth="1"/>
    <col min="22" max="23" width="9.140625" customWidth="1"/>
  </cols>
  <sheetData>
    <row r="1" spans="1:25" ht="45" x14ac:dyDescent="0.25">
      <c r="A1" s="487" t="s">
        <v>204</v>
      </c>
      <c r="B1" s="487"/>
      <c r="C1" s="487"/>
      <c r="D1" s="487"/>
      <c r="E1" s="488" t="s">
        <v>1</v>
      </c>
      <c r="F1" s="488"/>
      <c r="G1" s="488"/>
      <c r="H1" s="488"/>
      <c r="I1" s="70"/>
      <c r="J1" s="101"/>
      <c r="K1" s="142" t="s">
        <v>2</v>
      </c>
      <c r="L1" s="53" t="s">
        <v>3</v>
      </c>
      <c r="M1" s="489" t="s">
        <v>4</v>
      </c>
      <c r="N1" s="489"/>
      <c r="O1" s="169" t="s">
        <v>5</v>
      </c>
      <c r="P1" s="490" t="s">
        <v>6</v>
      </c>
      <c r="Q1" s="490"/>
      <c r="R1" s="491" t="s">
        <v>7</v>
      </c>
      <c r="S1" s="483" t="s">
        <v>53</v>
      </c>
      <c r="T1" s="484"/>
      <c r="U1" s="484"/>
      <c r="V1" s="243" t="s">
        <v>127</v>
      </c>
      <c r="W1" s="200"/>
      <c r="X1" s="212" t="s">
        <v>128</v>
      </c>
    </row>
    <row r="2" spans="1:25" ht="36" x14ac:dyDescent="0.25">
      <c r="A2" s="5" t="s">
        <v>10</v>
      </c>
      <c r="B2" s="2" t="s">
        <v>11</v>
      </c>
      <c r="C2" s="2" t="s">
        <v>12</v>
      </c>
      <c r="D2" s="3" t="s">
        <v>13</v>
      </c>
      <c r="E2" s="71" t="s">
        <v>125</v>
      </c>
      <c r="F2" s="72" t="s">
        <v>15</v>
      </c>
      <c r="G2" s="71" t="s">
        <v>16</v>
      </c>
      <c r="H2" s="72" t="s">
        <v>17</v>
      </c>
      <c r="I2" s="71" t="s">
        <v>18</v>
      </c>
      <c r="J2" s="102" t="s">
        <v>19</v>
      </c>
      <c r="K2" s="135" t="s">
        <v>20</v>
      </c>
      <c r="L2" s="52" t="s">
        <v>21</v>
      </c>
      <c r="M2" s="113" t="s">
        <v>22</v>
      </c>
      <c r="N2" s="68" t="s">
        <v>23</v>
      </c>
      <c r="O2" s="164" t="s">
        <v>24</v>
      </c>
      <c r="P2" s="30" t="s">
        <v>25</v>
      </c>
      <c r="Q2" s="47" t="s">
        <v>26</v>
      </c>
      <c r="R2" s="491"/>
      <c r="S2" s="94" t="s">
        <v>54</v>
      </c>
      <c r="T2" s="94" t="s">
        <v>55</v>
      </c>
      <c r="U2" s="94" t="s">
        <v>56</v>
      </c>
      <c r="V2" s="244" t="s">
        <v>57</v>
      </c>
      <c r="W2" s="240" t="s">
        <v>58</v>
      </c>
      <c r="X2" s="213"/>
    </row>
    <row r="3" spans="1:25" x14ac:dyDescent="0.25">
      <c r="A3" s="241">
        <v>5669</v>
      </c>
      <c r="B3" s="241" t="s">
        <v>32</v>
      </c>
      <c r="C3" s="241" t="s">
        <v>33</v>
      </c>
      <c r="D3" s="242">
        <v>46.289160000000003</v>
      </c>
      <c r="E3" s="245"/>
      <c r="F3" s="251"/>
      <c r="G3" s="245"/>
      <c r="H3" s="251"/>
      <c r="I3" s="176"/>
      <c r="J3" s="257"/>
      <c r="K3" s="131">
        <v>0</v>
      </c>
      <c r="L3" s="163">
        <v>0</v>
      </c>
      <c r="M3" s="181" t="s">
        <v>126</v>
      </c>
      <c r="N3" s="155">
        <v>46.289160000000003</v>
      </c>
      <c r="O3" s="158"/>
      <c r="P3" s="147">
        <f>D3-Q3</f>
        <v>0</v>
      </c>
      <c r="Q3" s="148">
        <v>46.289160000000003</v>
      </c>
      <c r="R3" s="167">
        <v>0</v>
      </c>
      <c r="S3" s="150">
        <v>0</v>
      </c>
      <c r="T3" s="150">
        <v>0</v>
      </c>
      <c r="U3" s="150">
        <v>0</v>
      </c>
      <c r="V3" s="154">
        <v>0</v>
      </c>
      <c r="W3" s="182">
        <f>D3-(S3+T3+U3+V3)</f>
        <v>46.289160000000003</v>
      </c>
      <c r="X3" s="61"/>
      <c r="Y3" s="278" t="s">
        <v>205</v>
      </c>
    </row>
    <row r="4" spans="1:25" ht="24.75" x14ac:dyDescent="0.25">
      <c r="A4" s="241">
        <v>5709</v>
      </c>
      <c r="B4" s="241" t="s">
        <v>32</v>
      </c>
      <c r="C4" s="241" t="s">
        <v>33</v>
      </c>
      <c r="D4" s="242">
        <v>9.6901709999999994</v>
      </c>
      <c r="E4" s="246" t="s">
        <v>206</v>
      </c>
      <c r="F4" s="252">
        <v>9.6901709999999994</v>
      </c>
      <c r="G4" s="245"/>
      <c r="H4" s="256"/>
      <c r="I4" s="162"/>
      <c r="J4" s="256"/>
      <c r="K4" s="131">
        <v>11.153388</v>
      </c>
      <c r="L4" s="163">
        <v>1.463217</v>
      </c>
      <c r="M4" s="181"/>
      <c r="N4" s="155"/>
      <c r="O4" s="158"/>
      <c r="P4" s="147">
        <f t="shared" ref="P4:P23" si="0">D4-Q4</f>
        <v>9.6901709999999994</v>
      </c>
      <c r="Q4" s="148">
        <v>0</v>
      </c>
      <c r="R4" s="167">
        <v>0</v>
      </c>
      <c r="S4" s="150">
        <v>0</v>
      </c>
      <c r="T4" s="150">
        <v>6.6841999999999997</v>
      </c>
      <c r="U4" s="150">
        <v>2.9003800000000002</v>
      </c>
      <c r="V4" s="154">
        <v>0</v>
      </c>
      <c r="W4" s="182">
        <f t="shared" ref="W4:W23" si="1">D4-(S4+T4+U4+V4)</f>
        <v>0.10559100000000043</v>
      </c>
      <c r="X4" s="61"/>
      <c r="Y4" s="275" t="s">
        <v>207</v>
      </c>
    </row>
    <row r="5" spans="1:25" ht="24.75" x14ac:dyDescent="0.25">
      <c r="A5" s="241">
        <v>5710</v>
      </c>
      <c r="B5" s="241" t="s">
        <v>32</v>
      </c>
      <c r="C5" s="241" t="s">
        <v>33</v>
      </c>
      <c r="D5" s="242">
        <v>11.349500000000001</v>
      </c>
      <c r="E5" s="247" t="s">
        <v>206</v>
      </c>
      <c r="F5" s="253">
        <v>11.349498000000001</v>
      </c>
      <c r="G5" s="245"/>
      <c r="H5" s="256"/>
      <c r="I5" s="162"/>
      <c r="J5" s="256"/>
      <c r="K5" s="131">
        <v>5.706842</v>
      </c>
      <c r="L5" s="163">
        <v>0</v>
      </c>
      <c r="M5" s="181"/>
      <c r="N5" s="155"/>
      <c r="O5" s="158"/>
      <c r="P5" s="147">
        <f t="shared" si="0"/>
        <v>11.349500000000001</v>
      </c>
      <c r="Q5" s="148">
        <v>0</v>
      </c>
      <c r="R5" s="167">
        <v>0</v>
      </c>
      <c r="S5" s="150">
        <v>0</v>
      </c>
      <c r="T5" s="150">
        <v>0</v>
      </c>
      <c r="U5" s="150">
        <v>10.786799999999999</v>
      </c>
      <c r="V5" s="154">
        <v>0</v>
      </c>
      <c r="W5" s="182">
        <f t="shared" si="1"/>
        <v>0.56270000000000131</v>
      </c>
      <c r="X5" s="61"/>
      <c r="Y5" s="275" t="s">
        <v>208</v>
      </c>
    </row>
    <row r="6" spans="1:25" ht="24.75" x14ac:dyDescent="0.25">
      <c r="A6" s="241">
        <v>5711</v>
      </c>
      <c r="B6" s="241" t="s">
        <v>32</v>
      </c>
      <c r="C6" s="241" t="s">
        <v>33</v>
      </c>
      <c r="D6" s="242">
        <v>5.9962460000000002</v>
      </c>
      <c r="E6" s="246" t="s">
        <v>206</v>
      </c>
      <c r="F6" s="252">
        <v>5.9962460000000002</v>
      </c>
      <c r="G6" s="245"/>
      <c r="H6" s="256"/>
      <c r="I6" s="162"/>
      <c r="J6" s="256"/>
      <c r="K6" s="131">
        <v>0</v>
      </c>
      <c r="L6" s="163">
        <v>0</v>
      </c>
      <c r="M6" s="181"/>
      <c r="N6" s="155"/>
      <c r="O6" s="158"/>
      <c r="P6" s="147">
        <f t="shared" si="0"/>
        <v>5.9962460000000002</v>
      </c>
      <c r="Q6" s="148">
        <v>0</v>
      </c>
      <c r="R6" s="167">
        <v>0</v>
      </c>
      <c r="S6" s="150">
        <v>0</v>
      </c>
      <c r="T6" s="150">
        <v>0</v>
      </c>
      <c r="U6" s="150">
        <v>4.4806100000000004</v>
      </c>
      <c r="V6" s="154">
        <v>0</v>
      </c>
      <c r="W6" s="182">
        <f t="shared" si="1"/>
        <v>1.5156359999999998</v>
      </c>
      <c r="X6" s="61"/>
      <c r="Y6" s="275" t="s">
        <v>209</v>
      </c>
    </row>
    <row r="7" spans="1:25" ht="24.75" x14ac:dyDescent="0.25">
      <c r="A7" s="241">
        <v>5713</v>
      </c>
      <c r="B7" s="241" t="s">
        <v>32</v>
      </c>
      <c r="C7" s="241" t="s">
        <v>33</v>
      </c>
      <c r="D7" s="242">
        <v>50.884610000000002</v>
      </c>
      <c r="E7" s="301" t="s">
        <v>210</v>
      </c>
      <c r="F7" s="252">
        <v>50.884608</v>
      </c>
      <c r="G7" s="245"/>
      <c r="H7" s="256"/>
      <c r="I7" s="162"/>
      <c r="J7" s="256"/>
      <c r="K7" s="131">
        <v>4.4819000000000004</v>
      </c>
      <c r="L7" s="163">
        <v>0</v>
      </c>
      <c r="M7" s="181"/>
      <c r="N7" s="155"/>
      <c r="O7" s="158"/>
      <c r="P7" s="147">
        <f t="shared" si="0"/>
        <v>50.884610000000002</v>
      </c>
      <c r="Q7" s="148">
        <v>0</v>
      </c>
      <c r="R7" s="167">
        <v>0</v>
      </c>
      <c r="S7" s="150">
        <v>0</v>
      </c>
      <c r="T7" s="150">
        <v>0</v>
      </c>
      <c r="U7" s="150">
        <v>6.5108300000000003</v>
      </c>
      <c r="V7" s="154">
        <v>0</v>
      </c>
      <c r="W7" s="296">
        <f t="shared" si="1"/>
        <v>44.373780000000004</v>
      </c>
      <c r="X7" s="61"/>
      <c r="Y7" s="275" t="s">
        <v>211</v>
      </c>
    </row>
    <row r="8" spans="1:25" ht="24.75" x14ac:dyDescent="0.25">
      <c r="A8" s="241">
        <v>5714</v>
      </c>
      <c r="B8" s="241" t="s">
        <v>32</v>
      </c>
      <c r="C8" s="241" t="s">
        <v>33</v>
      </c>
      <c r="D8" s="242">
        <v>56.176519999999996</v>
      </c>
      <c r="E8" s="246" t="s">
        <v>212</v>
      </c>
      <c r="F8" s="252">
        <v>56.176518999999999</v>
      </c>
      <c r="G8" s="245"/>
      <c r="H8" s="256"/>
      <c r="I8" s="162"/>
      <c r="J8" s="256"/>
      <c r="K8" s="131">
        <v>2.1332990000000001</v>
      </c>
      <c r="L8" s="163">
        <v>0</v>
      </c>
      <c r="M8" s="181"/>
      <c r="N8" s="155"/>
      <c r="O8" s="158"/>
      <c r="P8" s="147">
        <f t="shared" si="0"/>
        <v>56.176519999999996</v>
      </c>
      <c r="Q8" s="148">
        <v>0</v>
      </c>
      <c r="R8" s="167">
        <v>0</v>
      </c>
      <c r="S8" s="150">
        <v>0</v>
      </c>
      <c r="T8" s="150">
        <v>0</v>
      </c>
      <c r="U8" s="150">
        <v>5.1101599999999996</v>
      </c>
      <c r="V8" s="154">
        <v>0</v>
      </c>
      <c r="W8" s="297">
        <f t="shared" si="1"/>
        <v>51.066359999999996</v>
      </c>
      <c r="X8" s="61"/>
      <c r="Y8" s="275" t="s">
        <v>213</v>
      </c>
    </row>
    <row r="9" spans="1:25" ht="24.75" x14ac:dyDescent="0.25">
      <c r="A9" s="241">
        <v>5715</v>
      </c>
      <c r="B9" s="241" t="s">
        <v>32</v>
      </c>
      <c r="C9" s="241" t="s">
        <v>33</v>
      </c>
      <c r="D9" s="242">
        <v>28.18083</v>
      </c>
      <c r="E9" s="246" t="s">
        <v>214</v>
      </c>
      <c r="F9" s="252">
        <v>28.180831999999999</v>
      </c>
      <c r="G9" s="245"/>
      <c r="H9" s="256"/>
      <c r="I9" s="162"/>
      <c r="J9" s="256"/>
      <c r="K9" s="131">
        <v>11.14188</v>
      </c>
      <c r="L9" s="163">
        <v>0</v>
      </c>
      <c r="M9" s="181"/>
      <c r="N9" s="155"/>
      <c r="O9" s="158"/>
      <c r="P9" s="147">
        <f t="shared" si="0"/>
        <v>28.18083</v>
      </c>
      <c r="Q9" s="148">
        <v>0</v>
      </c>
      <c r="R9" s="167">
        <v>0</v>
      </c>
      <c r="S9" s="150">
        <v>0</v>
      </c>
      <c r="T9" s="150">
        <v>0</v>
      </c>
      <c r="U9" s="150">
        <v>0</v>
      </c>
      <c r="V9" s="154">
        <v>0</v>
      </c>
      <c r="W9" s="182">
        <f t="shared" si="1"/>
        <v>28.18083</v>
      </c>
      <c r="X9" s="61"/>
      <c r="Y9" s="275" t="s">
        <v>215</v>
      </c>
    </row>
    <row r="10" spans="1:25" ht="24.75" x14ac:dyDescent="0.25">
      <c r="A10" s="241">
        <v>5799</v>
      </c>
      <c r="B10" s="241" t="s">
        <v>32</v>
      </c>
      <c r="C10" s="241" t="s">
        <v>38</v>
      </c>
      <c r="D10" s="242">
        <v>42.377630000000003</v>
      </c>
      <c r="E10" s="304" t="s">
        <v>214</v>
      </c>
      <c r="F10" s="252">
        <v>42.377631999999998</v>
      </c>
      <c r="G10" s="245"/>
      <c r="H10" s="256"/>
      <c r="I10" s="162"/>
      <c r="J10" s="256"/>
      <c r="K10" s="131">
        <v>0.21804699999999999</v>
      </c>
      <c r="L10" s="163">
        <v>0</v>
      </c>
      <c r="M10" s="181"/>
      <c r="N10" s="155"/>
      <c r="O10" s="158"/>
      <c r="P10" s="147">
        <f t="shared" si="0"/>
        <v>42.377630000000003</v>
      </c>
      <c r="Q10" s="148">
        <v>0</v>
      </c>
      <c r="R10" s="167">
        <v>0</v>
      </c>
      <c r="S10" s="150">
        <v>0</v>
      </c>
      <c r="T10" s="150">
        <v>0</v>
      </c>
      <c r="U10" s="150">
        <v>10.6172</v>
      </c>
      <c r="V10" s="154">
        <v>0</v>
      </c>
      <c r="W10" s="298">
        <f t="shared" si="1"/>
        <v>31.760430000000003</v>
      </c>
      <c r="X10" s="61"/>
      <c r="Y10" s="275" t="s">
        <v>216</v>
      </c>
    </row>
    <row r="11" spans="1:25" x14ac:dyDescent="0.25">
      <c r="A11" s="241">
        <v>5832</v>
      </c>
      <c r="B11" s="241" t="s">
        <v>32</v>
      </c>
      <c r="C11" s="241" t="s">
        <v>41</v>
      </c>
      <c r="D11" s="242">
        <v>153.20410000000001</v>
      </c>
      <c r="E11" s="246"/>
      <c r="F11" s="252"/>
      <c r="G11" s="245"/>
      <c r="H11" s="256"/>
      <c r="I11" s="162"/>
      <c r="J11" s="256"/>
      <c r="K11" s="131">
        <v>0</v>
      </c>
      <c r="L11" s="163">
        <v>0</v>
      </c>
      <c r="M11" s="181" t="s">
        <v>126</v>
      </c>
      <c r="N11" s="155">
        <f>SUM(122.584+30.620022)</f>
        <v>153.20402200000001</v>
      </c>
      <c r="O11" s="158"/>
      <c r="P11" s="147">
        <f t="shared" si="0"/>
        <v>0</v>
      </c>
      <c r="Q11" s="148">
        <v>153.20410000000001</v>
      </c>
      <c r="R11" s="167">
        <v>1.879508</v>
      </c>
      <c r="S11" s="150">
        <v>0</v>
      </c>
      <c r="T11" s="150">
        <v>1.0085999999999999</v>
      </c>
      <c r="U11" s="150">
        <v>19.249199999999998</v>
      </c>
      <c r="V11" s="154">
        <v>0</v>
      </c>
      <c r="W11" s="299">
        <f t="shared" si="1"/>
        <v>132.94630000000001</v>
      </c>
      <c r="X11" s="61"/>
      <c r="Y11" s="275" t="s">
        <v>217</v>
      </c>
    </row>
    <row r="12" spans="1:25" x14ac:dyDescent="0.25">
      <c r="A12" s="241">
        <v>5833</v>
      </c>
      <c r="B12" s="241" t="s">
        <v>32</v>
      </c>
      <c r="C12" s="241" t="s">
        <v>41</v>
      </c>
      <c r="D12" s="242">
        <v>95.095330000000004</v>
      </c>
      <c r="E12" s="247"/>
      <c r="F12" s="253"/>
      <c r="G12" s="245"/>
      <c r="H12" s="256"/>
      <c r="I12" s="162"/>
      <c r="J12" s="256"/>
      <c r="K12" s="131">
        <v>0</v>
      </c>
      <c r="L12" s="163">
        <v>0</v>
      </c>
      <c r="M12" s="181" t="s">
        <v>126</v>
      </c>
      <c r="N12" s="155">
        <v>95.095330000000004</v>
      </c>
      <c r="O12" s="158"/>
      <c r="P12" s="147">
        <f t="shared" si="0"/>
        <v>0</v>
      </c>
      <c r="Q12" s="148">
        <v>95.095330000000004</v>
      </c>
      <c r="R12" s="167">
        <v>8.5384919999999997</v>
      </c>
      <c r="S12" s="150">
        <v>0</v>
      </c>
      <c r="T12" s="150">
        <v>0</v>
      </c>
      <c r="U12" s="150">
        <v>0</v>
      </c>
      <c r="V12" s="154">
        <v>0</v>
      </c>
      <c r="W12" s="182">
        <f t="shared" si="1"/>
        <v>95.095330000000004</v>
      </c>
      <c r="X12" s="61"/>
      <c r="Y12" s="275" t="s">
        <v>218</v>
      </c>
    </row>
    <row r="13" spans="1:25" ht="24.75" x14ac:dyDescent="0.25">
      <c r="A13" s="241">
        <v>5863</v>
      </c>
      <c r="B13" s="241" t="s">
        <v>32</v>
      </c>
      <c r="C13" s="241" t="s">
        <v>41</v>
      </c>
      <c r="D13" s="242">
        <v>84.003360000000001</v>
      </c>
      <c r="E13" s="303" t="s">
        <v>219</v>
      </c>
      <c r="F13" s="253">
        <v>84.003354999999999</v>
      </c>
      <c r="G13" s="245"/>
      <c r="H13" s="256"/>
      <c r="I13" s="162"/>
      <c r="J13" s="256"/>
      <c r="K13" s="131">
        <v>35.758699999999997</v>
      </c>
      <c r="L13" s="163">
        <v>0</v>
      </c>
      <c r="M13" s="181"/>
      <c r="N13" s="155"/>
      <c r="O13" s="158"/>
      <c r="P13" s="147">
        <f t="shared" si="0"/>
        <v>84.003360000000001</v>
      </c>
      <c r="Q13" s="148">
        <v>0</v>
      </c>
      <c r="R13" s="167">
        <v>6.7627569999999997</v>
      </c>
      <c r="S13" s="150">
        <v>42.300896000000002</v>
      </c>
      <c r="T13" s="150">
        <v>19.803000000000001</v>
      </c>
      <c r="U13" s="150">
        <v>6.7740600000000004</v>
      </c>
      <c r="V13" s="154">
        <v>0</v>
      </c>
      <c r="W13" s="299">
        <f t="shared" si="1"/>
        <v>15.125403999999989</v>
      </c>
      <c r="X13" s="61"/>
      <c r="Y13" s="279" t="s">
        <v>207</v>
      </c>
    </row>
    <row r="14" spans="1:25" ht="24.75" x14ac:dyDescent="0.25">
      <c r="A14" s="241">
        <v>5864</v>
      </c>
      <c r="B14" s="241" t="s">
        <v>32</v>
      </c>
      <c r="C14" s="241" t="s">
        <v>41</v>
      </c>
      <c r="D14" s="242">
        <v>16.02581</v>
      </c>
      <c r="E14" s="246" t="s">
        <v>206</v>
      </c>
      <c r="F14" s="252">
        <v>16.025808000000001</v>
      </c>
      <c r="G14" s="245"/>
      <c r="H14" s="256"/>
      <c r="I14" s="162"/>
      <c r="J14" s="256"/>
      <c r="K14" s="131">
        <v>15.674098000000001</v>
      </c>
      <c r="L14" s="163">
        <v>0</v>
      </c>
      <c r="M14" s="181"/>
      <c r="N14" s="155"/>
      <c r="O14" s="158"/>
      <c r="P14" s="147">
        <f t="shared" si="0"/>
        <v>16.02581</v>
      </c>
      <c r="Q14" s="148">
        <v>0</v>
      </c>
      <c r="R14" s="167">
        <v>0</v>
      </c>
      <c r="S14" s="150">
        <v>0</v>
      </c>
      <c r="T14" s="150">
        <v>0</v>
      </c>
      <c r="U14" s="150">
        <v>3.9235699999999998</v>
      </c>
      <c r="V14" s="154">
        <v>0</v>
      </c>
      <c r="W14" s="182">
        <f t="shared" si="1"/>
        <v>12.10224</v>
      </c>
      <c r="X14" s="61"/>
      <c r="Y14" s="279" t="s">
        <v>220</v>
      </c>
    </row>
    <row r="15" spans="1:25" ht="24.75" x14ac:dyDescent="0.25">
      <c r="A15" s="241">
        <v>5866</v>
      </c>
      <c r="B15" s="241" t="s">
        <v>32</v>
      </c>
      <c r="C15" s="241" t="s">
        <v>41</v>
      </c>
      <c r="D15" s="242">
        <v>27.201170000000001</v>
      </c>
      <c r="E15" s="246" t="s">
        <v>210</v>
      </c>
      <c r="F15" s="252">
        <v>27.201170000000001</v>
      </c>
      <c r="G15" s="245"/>
      <c r="H15" s="256"/>
      <c r="I15" s="162"/>
      <c r="J15" s="256"/>
      <c r="K15" s="131">
        <v>0</v>
      </c>
      <c r="L15" s="163">
        <v>0</v>
      </c>
      <c r="M15" s="181"/>
      <c r="N15" s="155"/>
      <c r="O15" s="158"/>
      <c r="P15" s="147">
        <f t="shared" si="0"/>
        <v>27.201170000000001</v>
      </c>
      <c r="Q15" s="148">
        <v>0</v>
      </c>
      <c r="R15" s="167">
        <v>18.710229999999999</v>
      </c>
      <c r="S15" s="150">
        <v>0</v>
      </c>
      <c r="T15" s="150">
        <v>0.84409999999999996</v>
      </c>
      <c r="U15" s="150">
        <v>0</v>
      </c>
      <c r="V15" s="154">
        <v>0</v>
      </c>
      <c r="W15" s="182">
        <f t="shared" si="1"/>
        <v>26.35707</v>
      </c>
      <c r="X15" s="61"/>
      <c r="Y15" s="279" t="s">
        <v>209</v>
      </c>
    </row>
    <row r="16" spans="1:25" ht="24.75" x14ac:dyDescent="0.25">
      <c r="A16" s="241">
        <v>5867</v>
      </c>
      <c r="B16" s="241" t="s">
        <v>32</v>
      </c>
      <c r="C16" s="241" t="s">
        <v>41</v>
      </c>
      <c r="D16" s="242">
        <v>60.065600000000003</v>
      </c>
      <c r="E16" s="304" t="s">
        <v>214</v>
      </c>
      <c r="F16" s="252">
        <v>60.065600000000003</v>
      </c>
      <c r="G16" s="245"/>
      <c r="H16" s="256"/>
      <c r="I16" s="162"/>
      <c r="J16" s="256"/>
      <c r="K16" s="131">
        <v>5.1896400000000007</v>
      </c>
      <c r="L16" s="163">
        <v>0</v>
      </c>
      <c r="M16" s="181"/>
      <c r="N16" s="155"/>
      <c r="O16" s="158"/>
      <c r="P16" s="147">
        <f t="shared" si="0"/>
        <v>37.826450000000008</v>
      </c>
      <c r="Q16" s="148">
        <v>22.239149999999999</v>
      </c>
      <c r="R16" s="167">
        <v>14.05124</v>
      </c>
      <c r="S16" s="150">
        <v>0</v>
      </c>
      <c r="T16" s="150">
        <v>0</v>
      </c>
      <c r="U16" s="150">
        <v>0</v>
      </c>
      <c r="V16" s="154">
        <v>0</v>
      </c>
      <c r="W16" s="298">
        <f t="shared" si="1"/>
        <v>60.065600000000003</v>
      </c>
      <c r="X16" s="61"/>
      <c r="Y16" s="279" t="s">
        <v>221</v>
      </c>
    </row>
    <row r="17" spans="1:25" x14ac:dyDescent="0.25">
      <c r="A17" s="241">
        <v>5869</v>
      </c>
      <c r="B17" s="241" t="s">
        <v>32</v>
      </c>
      <c r="C17" s="241" t="s">
        <v>41</v>
      </c>
      <c r="D17" s="242">
        <v>22.053550000000001</v>
      </c>
      <c r="E17" s="248"/>
      <c r="F17" s="254"/>
      <c r="G17" s="245"/>
      <c r="H17" s="256"/>
      <c r="I17" s="162"/>
      <c r="J17" s="256"/>
      <c r="K17" s="131">
        <v>0</v>
      </c>
      <c r="L17" s="163">
        <v>0</v>
      </c>
      <c r="M17" s="181" t="s">
        <v>126</v>
      </c>
      <c r="N17" s="155">
        <v>22.053550000000001</v>
      </c>
      <c r="O17" s="158"/>
      <c r="P17" s="147">
        <f t="shared" si="0"/>
        <v>0</v>
      </c>
      <c r="Q17" s="148">
        <v>22.053550000000001</v>
      </c>
      <c r="R17" s="167">
        <v>0.40772700000000001</v>
      </c>
      <c r="S17" s="150">
        <v>0</v>
      </c>
      <c r="T17" s="150">
        <v>0</v>
      </c>
      <c r="U17" s="150">
        <v>7.8989700000000003</v>
      </c>
      <c r="V17" s="154">
        <v>0</v>
      </c>
      <c r="W17" s="182">
        <f t="shared" si="1"/>
        <v>14.154580000000001</v>
      </c>
      <c r="X17" s="61"/>
      <c r="Y17" s="279" t="s">
        <v>213</v>
      </c>
    </row>
    <row r="18" spans="1:25" ht="24.75" x14ac:dyDescent="0.25">
      <c r="A18" s="241">
        <v>5870</v>
      </c>
      <c r="B18" s="241" t="s">
        <v>32</v>
      </c>
      <c r="C18" s="241" t="s">
        <v>41</v>
      </c>
      <c r="D18" s="242">
        <v>11.87576</v>
      </c>
      <c r="E18" s="246" t="s">
        <v>210</v>
      </c>
      <c r="F18" s="252">
        <v>11.875761000000001</v>
      </c>
      <c r="G18" s="245"/>
      <c r="H18" s="256"/>
      <c r="I18" s="162"/>
      <c r="J18" s="256"/>
      <c r="K18" s="131">
        <v>0</v>
      </c>
      <c r="L18" s="163">
        <v>0</v>
      </c>
      <c r="M18" s="181"/>
      <c r="N18" s="155"/>
      <c r="O18" s="158"/>
      <c r="P18" s="147">
        <f t="shared" si="0"/>
        <v>7.3894079999999995</v>
      </c>
      <c r="Q18" s="148">
        <v>4.4863520000000001</v>
      </c>
      <c r="R18" s="167">
        <v>0</v>
      </c>
      <c r="S18" s="150">
        <v>0</v>
      </c>
      <c r="T18" s="150">
        <v>1.6466000000000001</v>
      </c>
      <c r="U18" s="150">
        <v>10.229200000000001</v>
      </c>
      <c r="V18" s="154">
        <v>0</v>
      </c>
      <c r="W18" s="182">
        <f t="shared" si="1"/>
        <v>-4.0000000000262048E-5</v>
      </c>
      <c r="X18" s="61"/>
      <c r="Y18" s="279" t="s">
        <v>222</v>
      </c>
    </row>
    <row r="19" spans="1:25" x14ac:dyDescent="0.25">
      <c r="A19" s="241">
        <v>5871</v>
      </c>
      <c r="B19" s="241" t="s">
        <v>32</v>
      </c>
      <c r="C19" s="241" t="s">
        <v>41</v>
      </c>
      <c r="D19" s="242">
        <v>25.054069999999999</v>
      </c>
      <c r="E19" s="246" t="s">
        <v>223</v>
      </c>
      <c r="F19" s="252">
        <v>25.054069999999999</v>
      </c>
      <c r="G19" s="245"/>
      <c r="H19" s="256"/>
      <c r="I19" s="162"/>
      <c r="J19" s="256"/>
      <c r="K19" s="131">
        <v>4.6688590000000003</v>
      </c>
      <c r="L19" s="163">
        <v>0</v>
      </c>
      <c r="M19" s="181"/>
      <c r="N19" s="155"/>
      <c r="O19" s="158"/>
      <c r="P19" s="147">
        <f t="shared" si="0"/>
        <v>25.054069999999999</v>
      </c>
      <c r="Q19" s="148">
        <v>0</v>
      </c>
      <c r="R19" s="167">
        <v>0</v>
      </c>
      <c r="S19" s="150">
        <v>10.817345</v>
      </c>
      <c r="T19" s="150">
        <v>0.1825</v>
      </c>
      <c r="U19" s="150">
        <v>11.2087</v>
      </c>
      <c r="V19" s="154">
        <v>0</v>
      </c>
      <c r="W19" s="182">
        <f t="shared" si="1"/>
        <v>2.8455249999999985</v>
      </c>
      <c r="X19" s="61"/>
      <c r="Y19" s="279" t="s">
        <v>216</v>
      </c>
    </row>
    <row r="20" spans="1:25" ht="24.75" x14ac:dyDescent="0.25">
      <c r="A20" s="241">
        <v>5872</v>
      </c>
      <c r="B20" s="241" t="s">
        <v>32</v>
      </c>
      <c r="C20" s="241" t="s">
        <v>41</v>
      </c>
      <c r="D20" s="242">
        <v>77.834059999999994</v>
      </c>
      <c r="E20" s="302" t="s">
        <v>214</v>
      </c>
      <c r="F20" s="252">
        <v>77.425388999999996</v>
      </c>
      <c r="G20" s="246" t="s">
        <v>224</v>
      </c>
      <c r="H20" s="252">
        <v>0.40827999999999998</v>
      </c>
      <c r="I20" s="162"/>
      <c r="J20" s="256"/>
      <c r="K20" s="131">
        <v>7.4186399999999999</v>
      </c>
      <c r="L20" s="163">
        <v>0</v>
      </c>
      <c r="M20" s="181"/>
      <c r="N20" s="155"/>
      <c r="O20" s="158"/>
      <c r="P20" s="147">
        <f t="shared" si="0"/>
        <v>77.834059999999994</v>
      </c>
      <c r="Q20" s="148">
        <v>0</v>
      </c>
      <c r="R20" s="167">
        <v>0</v>
      </c>
      <c r="S20" s="150">
        <v>0</v>
      </c>
      <c r="T20" s="150">
        <v>10.018000000000001</v>
      </c>
      <c r="U20" s="150">
        <v>40.052500000000002</v>
      </c>
      <c r="V20" s="154">
        <v>0</v>
      </c>
      <c r="W20" s="299">
        <f t="shared" si="1"/>
        <v>27.763559999999991</v>
      </c>
      <c r="X20" s="61"/>
      <c r="Y20" s="279" t="s">
        <v>217</v>
      </c>
    </row>
    <row r="21" spans="1:25" ht="24.75" x14ac:dyDescent="0.25">
      <c r="A21" s="241">
        <v>5877</v>
      </c>
      <c r="B21" s="241" t="s">
        <v>32</v>
      </c>
      <c r="C21" s="241" t="s">
        <v>41</v>
      </c>
      <c r="D21" s="242">
        <v>23.033519999999999</v>
      </c>
      <c r="E21" s="152" t="s">
        <v>210</v>
      </c>
      <c r="F21" s="255">
        <v>23.033524</v>
      </c>
      <c r="G21" s="245"/>
      <c r="H21" s="256"/>
      <c r="I21" s="162"/>
      <c r="J21" s="256"/>
      <c r="K21" s="131">
        <v>2.378851</v>
      </c>
      <c r="L21" s="163">
        <v>0</v>
      </c>
      <c r="M21" s="181"/>
      <c r="N21" s="155"/>
      <c r="O21" s="158"/>
      <c r="P21" s="147">
        <f t="shared" si="0"/>
        <v>17.984067</v>
      </c>
      <c r="Q21" s="148">
        <v>5.0494529999999997</v>
      </c>
      <c r="R21" s="167">
        <v>0</v>
      </c>
      <c r="S21" s="150">
        <v>0</v>
      </c>
      <c r="T21" s="150">
        <v>0</v>
      </c>
      <c r="U21" s="150">
        <v>20.654699999999998</v>
      </c>
      <c r="V21" s="154">
        <v>2.3788399999999998</v>
      </c>
      <c r="W21" s="182">
        <f t="shared" si="1"/>
        <v>-1.9999999999242846E-5</v>
      </c>
      <c r="X21" s="61"/>
      <c r="Y21" s="279" t="s">
        <v>218</v>
      </c>
    </row>
    <row r="22" spans="1:25" x14ac:dyDescent="0.25">
      <c r="A22" s="241">
        <v>5878</v>
      </c>
      <c r="B22" s="241" t="s">
        <v>32</v>
      </c>
      <c r="C22" s="241" t="s">
        <v>41</v>
      </c>
      <c r="D22" s="242">
        <v>15.8424</v>
      </c>
      <c r="E22" s="152" t="s">
        <v>223</v>
      </c>
      <c r="F22" s="255">
        <v>15.842396000000001</v>
      </c>
      <c r="G22" s="245"/>
      <c r="H22" s="256"/>
      <c r="I22" s="162"/>
      <c r="J22" s="256"/>
      <c r="K22" s="131">
        <v>0</v>
      </c>
      <c r="L22" s="163">
        <v>0</v>
      </c>
      <c r="M22" s="181"/>
      <c r="N22" s="155"/>
      <c r="O22" s="158"/>
      <c r="P22" s="147">
        <f t="shared" si="0"/>
        <v>15.8424</v>
      </c>
      <c r="Q22" s="148">
        <v>0</v>
      </c>
      <c r="R22" s="167">
        <v>15.8424</v>
      </c>
      <c r="S22" s="150">
        <v>15.842394000000001</v>
      </c>
      <c r="T22" s="150">
        <v>0</v>
      </c>
      <c r="U22" s="150">
        <v>0</v>
      </c>
      <c r="V22" s="154">
        <v>0</v>
      </c>
      <c r="W22" s="182">
        <f t="shared" si="1"/>
        <v>5.999999999062311E-6</v>
      </c>
      <c r="X22" s="61"/>
      <c r="Y22" s="287" t="s">
        <v>225</v>
      </c>
    </row>
    <row r="23" spans="1:25" x14ac:dyDescent="0.25">
      <c r="A23" s="241">
        <v>5879</v>
      </c>
      <c r="B23" s="241" t="s">
        <v>32</v>
      </c>
      <c r="C23" s="241" t="s">
        <v>41</v>
      </c>
      <c r="D23" s="242">
        <v>30.00123</v>
      </c>
      <c r="E23" s="281" t="s">
        <v>223</v>
      </c>
      <c r="F23" s="255">
        <v>30.001228999999999</v>
      </c>
      <c r="G23" s="245"/>
      <c r="H23" s="256"/>
      <c r="I23" s="162"/>
      <c r="J23" s="256"/>
      <c r="K23" s="131">
        <v>0.26979300000000001</v>
      </c>
      <c r="L23" s="163">
        <v>0</v>
      </c>
      <c r="M23" s="181"/>
      <c r="N23" s="155"/>
      <c r="O23" s="158"/>
      <c r="P23" s="147">
        <f t="shared" si="0"/>
        <v>3.640229999999999</v>
      </c>
      <c r="Q23" s="148">
        <v>26.361000000000001</v>
      </c>
      <c r="R23" s="167">
        <v>0</v>
      </c>
      <c r="S23" s="150">
        <v>15.842394000000001</v>
      </c>
      <c r="T23" s="150">
        <v>0</v>
      </c>
      <c r="U23" s="150">
        <v>3.356E-2</v>
      </c>
      <c r="V23" s="154">
        <v>0</v>
      </c>
      <c r="W23" s="300">
        <f t="shared" si="1"/>
        <v>14.125275999999999</v>
      </c>
      <c r="X23" s="61"/>
      <c r="Y23" s="286" t="s">
        <v>226</v>
      </c>
    </row>
    <row r="24" spans="1:25" x14ac:dyDescent="0.25">
      <c r="A24" s="59" t="s">
        <v>52</v>
      </c>
      <c r="B24" s="59" t="s">
        <v>32</v>
      </c>
      <c r="C24" s="59"/>
      <c r="D24" s="83">
        <f>SUM(D3:D23)</f>
        <v>892.23462700000005</v>
      </c>
      <c r="E24" s="83"/>
      <c r="F24" s="83">
        <f>SUM(F3:F23)</f>
        <v>575.183808</v>
      </c>
      <c r="G24" s="83"/>
      <c r="H24" s="83">
        <f>SUM(H3:H23)</f>
        <v>0.40827999999999998</v>
      </c>
      <c r="I24" s="83"/>
      <c r="J24" s="83">
        <f>SUM(J3:J23)</f>
        <v>0</v>
      </c>
      <c r="K24" s="83">
        <f>SUM(K3:K23)</f>
        <v>106.19393699999999</v>
      </c>
      <c r="L24" s="83">
        <f>SUM(L3:L23)</f>
        <v>1.463217</v>
      </c>
      <c r="M24" s="83"/>
      <c r="N24" s="83">
        <f t="shared" ref="N24:W24" si="2">SUM(N3:N23)</f>
        <v>316.64206200000001</v>
      </c>
      <c r="O24" s="83">
        <f t="shared" si="2"/>
        <v>0</v>
      </c>
      <c r="P24" s="83">
        <f t="shared" si="2"/>
        <v>517.45653199999992</v>
      </c>
      <c r="Q24" s="83">
        <f t="shared" si="2"/>
        <v>374.77809500000001</v>
      </c>
      <c r="R24" s="83">
        <f t="shared" si="2"/>
        <v>66.192353999999995</v>
      </c>
      <c r="S24" s="83">
        <f t="shared" si="2"/>
        <v>84.803028999999995</v>
      </c>
      <c r="T24" s="83">
        <f t="shared" si="2"/>
        <v>40.187000000000005</v>
      </c>
      <c r="U24" s="83">
        <f t="shared" si="2"/>
        <v>160.43044</v>
      </c>
      <c r="V24" s="83">
        <f t="shared" si="2"/>
        <v>2.3788399999999998</v>
      </c>
      <c r="W24" s="83">
        <f t="shared" si="2"/>
        <v>604.43531799999994</v>
      </c>
      <c r="X24" s="83"/>
    </row>
    <row r="25" spans="1:25" ht="30" x14ac:dyDescent="0.25">
      <c r="A25" s="227"/>
      <c r="B25" s="228"/>
      <c r="C25" s="228"/>
      <c r="D25" s="229"/>
      <c r="E25" s="230"/>
      <c r="F25" s="231"/>
      <c r="G25" s="230"/>
      <c r="H25" s="231"/>
      <c r="I25" s="230"/>
      <c r="J25" s="232"/>
      <c r="K25" s="231"/>
      <c r="L25" s="231"/>
      <c r="M25" s="233"/>
      <c r="N25" s="234"/>
      <c r="O25" s="234"/>
      <c r="P25" s="235"/>
      <c r="Q25" s="236"/>
      <c r="R25" s="237"/>
      <c r="S25" s="495" t="s">
        <v>53</v>
      </c>
      <c r="T25" s="496"/>
      <c r="U25" s="496"/>
      <c r="V25" s="238" t="s">
        <v>127</v>
      </c>
      <c r="W25" s="200"/>
      <c r="X25" s="212" t="s">
        <v>128</v>
      </c>
    </row>
    <row r="26" spans="1:25" ht="30" x14ac:dyDescent="0.25">
      <c r="A26" s="227"/>
      <c r="B26" s="228"/>
      <c r="C26" s="228"/>
      <c r="D26" s="229"/>
      <c r="E26" s="230"/>
      <c r="F26" s="231"/>
      <c r="G26" s="230"/>
      <c r="H26" s="231"/>
      <c r="I26" s="230"/>
      <c r="J26" s="232"/>
      <c r="K26" s="231"/>
      <c r="L26" s="231"/>
      <c r="M26" s="233"/>
      <c r="N26" s="234"/>
      <c r="O26" s="234"/>
      <c r="P26" s="235"/>
      <c r="Q26" s="236"/>
      <c r="R26" s="237"/>
      <c r="S26" s="201" t="s">
        <v>54</v>
      </c>
      <c r="T26" s="201" t="s">
        <v>55</v>
      </c>
      <c r="U26" s="201" t="s">
        <v>56</v>
      </c>
      <c r="V26" s="239" t="s">
        <v>57</v>
      </c>
      <c r="W26" s="240" t="s">
        <v>58</v>
      </c>
      <c r="X26" s="213"/>
    </row>
    <row r="27" spans="1:25" x14ac:dyDescent="0.25">
      <c r="A27" s="179">
        <v>5401</v>
      </c>
      <c r="B27" s="179" t="s">
        <v>59</v>
      </c>
      <c r="C27" s="179" t="s">
        <v>33</v>
      </c>
      <c r="D27" s="174">
        <v>17.068729999999999</v>
      </c>
      <c r="E27" s="276" t="s">
        <v>227</v>
      </c>
      <c r="F27" s="251">
        <v>17.068726999999999</v>
      </c>
      <c r="G27" s="245"/>
      <c r="H27" s="251"/>
      <c r="I27" s="176"/>
      <c r="J27" s="257"/>
      <c r="K27" s="131">
        <v>15.345164</v>
      </c>
      <c r="L27" s="163">
        <v>0</v>
      </c>
      <c r="M27" s="181"/>
      <c r="N27" s="155"/>
      <c r="O27" s="158"/>
      <c r="P27" s="147">
        <f>D27-Q27</f>
        <v>17.068729999999999</v>
      </c>
      <c r="Q27" s="148">
        <v>0</v>
      </c>
      <c r="R27" s="167">
        <v>4.6201660000000002</v>
      </c>
      <c r="S27" s="150">
        <v>1.9064909999999999</v>
      </c>
      <c r="T27" s="150">
        <v>6.7110000000000003E-2</v>
      </c>
      <c r="U27" s="150">
        <v>0</v>
      </c>
      <c r="V27" s="154">
        <v>0</v>
      </c>
      <c r="W27" s="277">
        <f>D27-(S27+T27+U27+V27)</f>
        <v>15.095128999999998</v>
      </c>
      <c r="Y27" s="278" t="s">
        <v>205</v>
      </c>
    </row>
    <row r="28" spans="1:25" ht="24.75" x14ac:dyDescent="0.25">
      <c r="A28" s="1">
        <v>5402</v>
      </c>
      <c r="B28" s="1" t="s">
        <v>59</v>
      </c>
      <c r="C28" s="1" t="s">
        <v>33</v>
      </c>
      <c r="D28" s="7">
        <v>15.225770000000001</v>
      </c>
      <c r="E28" s="246" t="s">
        <v>228</v>
      </c>
      <c r="F28" s="252">
        <v>9.6241999999999994E-2</v>
      </c>
      <c r="G28" s="246"/>
      <c r="H28" s="252"/>
      <c r="I28" s="250"/>
      <c r="J28" s="252"/>
      <c r="K28" s="157">
        <v>0</v>
      </c>
      <c r="L28" s="54">
        <v>0</v>
      </c>
      <c r="M28" s="46"/>
      <c r="N28" s="45"/>
      <c r="O28" s="127">
        <v>15.129530000000001</v>
      </c>
      <c r="P28" s="147">
        <f t="shared" ref="P28:P85" si="3">D28-Q28</f>
        <v>9.6239999999999881E-2</v>
      </c>
      <c r="Q28" s="16">
        <v>15.129530000000001</v>
      </c>
      <c r="R28" s="31">
        <v>0</v>
      </c>
      <c r="S28" s="13">
        <v>15.225771999999999</v>
      </c>
      <c r="T28" s="13">
        <v>0</v>
      </c>
      <c r="U28" s="13">
        <v>0</v>
      </c>
      <c r="V28" s="45">
        <v>0</v>
      </c>
      <c r="W28" s="25">
        <f t="shared" ref="W28:W85" si="4">D28-(S28+T28+U28+V28)</f>
        <v>-1.9999999985031991E-6</v>
      </c>
      <c r="Y28" s="275" t="s">
        <v>207</v>
      </c>
    </row>
    <row r="29" spans="1:25" ht="24.75" x14ac:dyDescent="0.25">
      <c r="A29" s="179">
        <v>5403</v>
      </c>
      <c r="B29" s="179" t="s">
        <v>59</v>
      </c>
      <c r="C29" s="179" t="s">
        <v>33</v>
      </c>
      <c r="D29" s="143">
        <v>20.492650000000001</v>
      </c>
      <c r="E29" s="245" t="s">
        <v>219</v>
      </c>
      <c r="F29" s="251">
        <v>6.3675920000000001</v>
      </c>
      <c r="G29" s="281" t="s">
        <v>223</v>
      </c>
      <c r="H29" s="257">
        <v>3.4338139999999999</v>
      </c>
      <c r="I29" s="176"/>
      <c r="J29" s="261"/>
      <c r="K29" s="131">
        <v>0</v>
      </c>
      <c r="L29" s="163">
        <v>0</v>
      </c>
      <c r="M29" s="139"/>
      <c r="N29" s="170"/>
      <c r="O29" s="140">
        <v>10.691240000000001</v>
      </c>
      <c r="P29" s="147">
        <f t="shared" si="3"/>
        <v>9.8014100000000006</v>
      </c>
      <c r="Q29" s="16">
        <v>10.691240000000001</v>
      </c>
      <c r="R29" s="149">
        <v>2.5588000000000002</v>
      </c>
      <c r="S29" s="150">
        <v>7.4858269999999996</v>
      </c>
      <c r="T29" s="150">
        <v>3.1381999999999999</v>
      </c>
      <c r="U29" s="150">
        <v>0</v>
      </c>
      <c r="V29" s="154">
        <v>0</v>
      </c>
      <c r="W29" s="280">
        <f t="shared" si="4"/>
        <v>9.8686230000000013</v>
      </c>
      <c r="Y29" s="275" t="s">
        <v>208</v>
      </c>
    </row>
    <row r="30" spans="1:25" ht="24.75" x14ac:dyDescent="0.25">
      <c r="A30" s="1">
        <v>5406</v>
      </c>
      <c r="B30" s="1" t="s">
        <v>59</v>
      </c>
      <c r="C30" s="1" t="s">
        <v>33</v>
      </c>
      <c r="D30" s="4">
        <v>36.001719999999999</v>
      </c>
      <c r="E30" s="282" t="s">
        <v>223</v>
      </c>
      <c r="F30" s="252">
        <v>6.2538460000000002</v>
      </c>
      <c r="G30" s="246" t="s">
        <v>229</v>
      </c>
      <c r="H30" s="252">
        <v>6.5101310000000003</v>
      </c>
      <c r="I30" s="248"/>
      <c r="J30" s="262"/>
      <c r="K30" s="157">
        <v>0</v>
      </c>
      <c r="L30" s="163">
        <v>0</v>
      </c>
      <c r="M30" s="114"/>
      <c r="N30" s="66"/>
      <c r="O30" s="127">
        <v>23.237739999999999</v>
      </c>
      <c r="P30" s="147">
        <f t="shared" si="3"/>
        <v>12.76397</v>
      </c>
      <c r="Q30" s="16">
        <v>23.237749999999998</v>
      </c>
      <c r="R30" s="8">
        <v>1.228675</v>
      </c>
      <c r="S30" s="13">
        <v>17.006333999999999</v>
      </c>
      <c r="T30" s="13">
        <v>7.2436999999999996</v>
      </c>
      <c r="U30" s="13">
        <v>0.72321000000000002</v>
      </c>
      <c r="V30" s="45">
        <v>0</v>
      </c>
      <c r="W30" s="280">
        <f t="shared" si="4"/>
        <v>11.028475999999998</v>
      </c>
      <c r="Y30" s="275" t="s">
        <v>209</v>
      </c>
    </row>
    <row r="31" spans="1:25" x14ac:dyDescent="0.25">
      <c r="A31" s="1">
        <v>5407</v>
      </c>
      <c r="B31" s="1" t="s">
        <v>59</v>
      </c>
      <c r="C31" s="1" t="s">
        <v>33</v>
      </c>
      <c r="D31" s="4">
        <v>14.87828</v>
      </c>
      <c r="E31" s="283" t="s">
        <v>227</v>
      </c>
      <c r="F31" s="252">
        <v>14.878277000000001</v>
      </c>
      <c r="G31" s="246"/>
      <c r="H31" s="252"/>
      <c r="I31" s="77"/>
      <c r="J31" s="263"/>
      <c r="K31" s="157">
        <v>0</v>
      </c>
      <c r="L31" s="163">
        <v>14.87828</v>
      </c>
      <c r="M31" s="114"/>
      <c r="N31" s="66"/>
      <c r="O31" s="127"/>
      <c r="P31" s="147">
        <f t="shared" si="3"/>
        <v>14.87828</v>
      </c>
      <c r="Q31" s="16">
        <v>0</v>
      </c>
      <c r="R31" s="8">
        <v>6.4900060000000002</v>
      </c>
      <c r="S31" s="13">
        <v>0</v>
      </c>
      <c r="T31" s="13">
        <v>0</v>
      </c>
      <c r="U31" s="13">
        <v>0</v>
      </c>
      <c r="V31" s="45">
        <v>0</v>
      </c>
      <c r="W31" s="284">
        <f t="shared" si="4"/>
        <v>14.87828</v>
      </c>
      <c r="Y31" s="275" t="s">
        <v>211</v>
      </c>
    </row>
    <row r="32" spans="1:25" x14ac:dyDescent="0.25">
      <c r="A32" s="1">
        <v>5408</v>
      </c>
      <c r="B32" s="1" t="s">
        <v>59</v>
      </c>
      <c r="C32" s="1" t="s">
        <v>33</v>
      </c>
      <c r="D32" s="4">
        <v>9.5262910000000005</v>
      </c>
      <c r="E32" s="283" t="s">
        <v>227</v>
      </c>
      <c r="F32" s="252">
        <v>9.5262910000000005</v>
      </c>
      <c r="G32" s="78"/>
      <c r="H32" s="260"/>
      <c r="I32" s="77"/>
      <c r="J32" s="263"/>
      <c r="K32" s="157">
        <v>0</v>
      </c>
      <c r="L32" s="163">
        <v>0</v>
      </c>
      <c r="M32" s="114"/>
      <c r="N32" s="66"/>
      <c r="O32" s="127"/>
      <c r="P32" s="147">
        <f t="shared" si="3"/>
        <v>9.5262910000000005</v>
      </c>
      <c r="Q32" s="16">
        <v>0</v>
      </c>
      <c r="R32" s="8">
        <v>6.3101909999999997</v>
      </c>
      <c r="S32" s="13">
        <v>0</v>
      </c>
      <c r="T32" s="13">
        <v>0</v>
      </c>
      <c r="U32" s="13">
        <v>0</v>
      </c>
      <c r="V32" s="45">
        <v>0</v>
      </c>
      <c r="W32" s="284">
        <f t="shared" si="4"/>
        <v>9.5262910000000005</v>
      </c>
      <c r="X32" s="15"/>
      <c r="Y32" s="275" t="s">
        <v>213</v>
      </c>
    </row>
    <row r="33" spans="1:349" x14ac:dyDescent="0.25">
      <c r="A33" s="1">
        <v>5409</v>
      </c>
      <c r="B33" s="1" t="s">
        <v>59</v>
      </c>
      <c r="C33" s="1" t="s">
        <v>33</v>
      </c>
      <c r="D33" s="4">
        <v>32.240679999999998</v>
      </c>
      <c r="E33" s="246" t="s">
        <v>223</v>
      </c>
      <c r="F33" s="252">
        <v>32.240679</v>
      </c>
      <c r="G33" s="247"/>
      <c r="H33" s="253"/>
      <c r="I33" s="77"/>
      <c r="J33" s="263"/>
      <c r="K33" s="157">
        <v>1.630279</v>
      </c>
      <c r="L33" s="163">
        <v>0</v>
      </c>
      <c r="M33" s="114"/>
      <c r="N33" s="66"/>
      <c r="O33" s="127"/>
      <c r="P33" s="147">
        <f t="shared" si="3"/>
        <v>32.240679999999998</v>
      </c>
      <c r="Q33" s="16">
        <v>0</v>
      </c>
      <c r="R33" s="8">
        <v>3.6554989999999998</v>
      </c>
      <c r="S33" s="13">
        <v>23.345285000000001</v>
      </c>
      <c r="T33" s="13">
        <v>0.70050000000000001</v>
      </c>
      <c r="U33" s="13">
        <v>3.5451999999999999</v>
      </c>
      <c r="V33" s="45">
        <v>4.6497200000000003</v>
      </c>
      <c r="W33" s="25">
        <f t="shared" si="4"/>
        <v>-2.5000000007935341E-5</v>
      </c>
      <c r="Y33" s="275" t="s">
        <v>215</v>
      </c>
    </row>
    <row r="34" spans="1:349" x14ac:dyDescent="0.25">
      <c r="A34" s="1">
        <v>5410</v>
      </c>
      <c r="B34" s="1" t="s">
        <v>59</v>
      </c>
      <c r="C34" s="1" t="s">
        <v>33</v>
      </c>
      <c r="D34" s="4">
        <v>6.580552</v>
      </c>
      <c r="E34" s="283" t="s">
        <v>227</v>
      </c>
      <c r="F34" s="252">
        <v>6.580552</v>
      </c>
      <c r="G34" s="78"/>
      <c r="H34" s="260"/>
      <c r="I34" s="77"/>
      <c r="J34" s="263"/>
      <c r="K34" s="157">
        <v>0.96095699999999995</v>
      </c>
      <c r="L34" s="163">
        <v>0</v>
      </c>
      <c r="M34" s="114"/>
      <c r="N34" s="66"/>
      <c r="O34" s="127"/>
      <c r="P34" s="147">
        <f t="shared" si="3"/>
        <v>6.580552</v>
      </c>
      <c r="Q34" s="16">
        <v>0</v>
      </c>
      <c r="R34" s="8">
        <v>5.619599</v>
      </c>
      <c r="S34" s="13">
        <v>0</v>
      </c>
      <c r="T34" s="13">
        <v>0</v>
      </c>
      <c r="U34" s="13">
        <v>0</v>
      </c>
      <c r="V34" s="45">
        <v>0</v>
      </c>
      <c r="W34" s="284">
        <f t="shared" si="4"/>
        <v>6.580552</v>
      </c>
      <c r="Y34" s="275" t="s">
        <v>216</v>
      </c>
    </row>
    <row r="35" spans="1:349" x14ac:dyDescent="0.25">
      <c r="A35" s="1">
        <v>5411</v>
      </c>
      <c r="B35" s="1" t="s">
        <v>59</v>
      </c>
      <c r="C35" s="1" t="s">
        <v>33</v>
      </c>
      <c r="D35" s="4">
        <v>5.8637730000000001</v>
      </c>
      <c r="E35" s="283" t="s">
        <v>227</v>
      </c>
      <c r="F35" s="252">
        <v>5.8637730000000001</v>
      </c>
      <c r="G35" s="246"/>
      <c r="H35" s="252"/>
      <c r="I35" s="77"/>
      <c r="J35" s="263"/>
      <c r="K35" s="157">
        <v>0</v>
      </c>
      <c r="L35" s="163">
        <v>0</v>
      </c>
      <c r="M35" s="114"/>
      <c r="N35" s="66"/>
      <c r="O35" s="127"/>
      <c r="P35" s="147">
        <f t="shared" si="3"/>
        <v>5.8637730000000001</v>
      </c>
      <c r="Q35" s="16">
        <v>0</v>
      </c>
      <c r="R35" s="8">
        <v>0</v>
      </c>
      <c r="S35" s="13">
        <v>0</v>
      </c>
      <c r="T35" s="13">
        <v>0</v>
      </c>
      <c r="U35" s="13">
        <v>0</v>
      </c>
      <c r="V35" s="45">
        <v>0</v>
      </c>
      <c r="W35" s="284">
        <f t="shared" si="4"/>
        <v>5.8637730000000001</v>
      </c>
      <c r="Y35" s="275" t="s">
        <v>217</v>
      </c>
    </row>
    <row r="36" spans="1:349" x14ac:dyDescent="0.25">
      <c r="A36" s="1">
        <v>5412</v>
      </c>
      <c r="B36" s="1" t="s">
        <v>59</v>
      </c>
      <c r="C36" s="1" t="s">
        <v>33</v>
      </c>
      <c r="D36" s="4">
        <v>11.49593</v>
      </c>
      <c r="E36" s="282" t="s">
        <v>223</v>
      </c>
      <c r="F36" s="252">
        <v>11.495933000000001</v>
      </c>
      <c r="G36" s="247"/>
      <c r="H36" s="253"/>
      <c r="I36" s="77"/>
      <c r="J36" s="263"/>
      <c r="K36" s="157">
        <v>6.0164869999999997</v>
      </c>
      <c r="L36" s="163">
        <v>0</v>
      </c>
      <c r="M36" s="114"/>
      <c r="N36" s="66"/>
      <c r="O36" s="127"/>
      <c r="P36" s="147">
        <f t="shared" si="3"/>
        <v>11.49593</v>
      </c>
      <c r="Q36" s="16">
        <v>0</v>
      </c>
      <c r="R36" s="8">
        <v>1.071007</v>
      </c>
      <c r="S36" s="13">
        <v>11.020811</v>
      </c>
      <c r="T36" s="13">
        <v>0</v>
      </c>
      <c r="U36" s="13">
        <v>0</v>
      </c>
      <c r="V36" s="45">
        <v>0</v>
      </c>
      <c r="W36" s="280">
        <f t="shared" si="4"/>
        <v>0.4751189999999994</v>
      </c>
      <c r="X36" s="15"/>
      <c r="Y36" s="275" t="s">
        <v>218</v>
      </c>
      <c r="AA36" s="15"/>
    </row>
    <row r="37" spans="1:349" x14ac:dyDescent="0.25">
      <c r="A37" s="1">
        <v>5413</v>
      </c>
      <c r="B37" s="1" t="s">
        <v>59</v>
      </c>
      <c r="C37" s="1" t="s">
        <v>33</v>
      </c>
      <c r="D37" s="4">
        <v>6.175637</v>
      </c>
      <c r="E37" s="283" t="s">
        <v>227</v>
      </c>
      <c r="F37" s="252">
        <v>6.175637</v>
      </c>
      <c r="G37" s="246"/>
      <c r="H37" s="252"/>
      <c r="I37" s="77"/>
      <c r="J37" s="263"/>
      <c r="K37" s="157">
        <v>0</v>
      </c>
      <c r="L37" s="54">
        <v>0</v>
      </c>
      <c r="M37" s="114"/>
      <c r="N37" s="66"/>
      <c r="O37" s="127"/>
      <c r="P37" s="147">
        <f t="shared" si="3"/>
        <v>6.175637</v>
      </c>
      <c r="Q37" s="16">
        <v>0</v>
      </c>
      <c r="R37" s="8">
        <v>0</v>
      </c>
      <c r="S37" s="13">
        <v>0</v>
      </c>
      <c r="T37" s="13">
        <v>0</v>
      </c>
      <c r="U37" s="13">
        <v>0</v>
      </c>
      <c r="V37" s="45">
        <v>0</v>
      </c>
      <c r="W37" s="284">
        <f t="shared" si="4"/>
        <v>6.175637</v>
      </c>
    </row>
    <row r="38" spans="1:349" ht="24.75" x14ac:dyDescent="0.25">
      <c r="A38" s="1">
        <v>5415</v>
      </c>
      <c r="B38" s="1" t="s">
        <v>59</v>
      </c>
      <c r="C38" s="1" t="s">
        <v>33</v>
      </c>
      <c r="D38" s="4">
        <v>24.024270000000001</v>
      </c>
      <c r="E38" s="246" t="s">
        <v>229</v>
      </c>
      <c r="F38" s="252">
        <v>24.024273999999998</v>
      </c>
      <c r="G38" s="78"/>
      <c r="H38" s="260"/>
      <c r="I38" s="77"/>
      <c r="J38" s="263"/>
      <c r="K38" s="157">
        <v>0</v>
      </c>
      <c r="L38" s="54">
        <v>0</v>
      </c>
      <c r="M38" s="114"/>
      <c r="N38" s="66"/>
      <c r="O38" s="127"/>
      <c r="P38" s="147">
        <f t="shared" si="3"/>
        <v>24.024270000000001</v>
      </c>
      <c r="Q38" s="16">
        <v>0</v>
      </c>
      <c r="R38" s="8">
        <v>3.4962580000000001</v>
      </c>
      <c r="S38" s="13">
        <v>1.042856</v>
      </c>
      <c r="T38" s="13">
        <v>13.95</v>
      </c>
      <c r="U38" s="13">
        <v>9.0319000000000003</v>
      </c>
      <c r="V38" s="45">
        <v>0</v>
      </c>
      <c r="W38" s="25">
        <f t="shared" si="4"/>
        <v>-4.8599999999865418E-4</v>
      </c>
      <c r="Y38" s="279" t="s">
        <v>230</v>
      </c>
    </row>
    <row r="39" spans="1:349" x14ac:dyDescent="0.25">
      <c r="A39" s="1">
        <v>5416</v>
      </c>
      <c r="B39" s="1" t="s">
        <v>59</v>
      </c>
      <c r="C39" s="1" t="s">
        <v>33</v>
      </c>
      <c r="D39" s="4">
        <v>20.061070000000001</v>
      </c>
      <c r="E39" s="283" t="s">
        <v>227</v>
      </c>
      <c r="F39" s="252">
        <v>20.061074000000001</v>
      </c>
      <c r="G39" s="246"/>
      <c r="H39" s="252"/>
      <c r="I39" s="77"/>
      <c r="J39" s="263"/>
      <c r="K39" s="157">
        <v>8.4279999999999994E-2</v>
      </c>
      <c r="L39" s="54">
        <v>0</v>
      </c>
      <c r="M39" s="114"/>
      <c r="N39" s="66"/>
      <c r="O39" s="127"/>
      <c r="P39" s="147">
        <f t="shared" si="3"/>
        <v>20.061070000000001</v>
      </c>
      <c r="Q39" s="16">
        <v>0</v>
      </c>
      <c r="R39" s="8">
        <v>0</v>
      </c>
      <c r="S39" s="13">
        <v>0</v>
      </c>
      <c r="T39" s="13">
        <v>0</v>
      </c>
      <c r="U39" s="13">
        <v>0</v>
      </c>
      <c r="V39" s="45">
        <v>0</v>
      </c>
      <c r="W39" s="284">
        <f t="shared" si="4"/>
        <v>20.061070000000001</v>
      </c>
      <c r="Y39" s="279" t="s">
        <v>220</v>
      </c>
    </row>
    <row r="40" spans="1:349" x14ac:dyDescent="0.25">
      <c r="A40" s="1">
        <v>5418</v>
      </c>
      <c r="B40" s="1" t="s">
        <v>59</v>
      </c>
      <c r="C40" s="1" t="s">
        <v>33</v>
      </c>
      <c r="D40" s="4">
        <v>30.967079999999999</v>
      </c>
      <c r="E40" s="246" t="s">
        <v>223</v>
      </c>
      <c r="F40" s="252">
        <v>30.967077</v>
      </c>
      <c r="G40" s="78"/>
      <c r="H40" s="260"/>
      <c r="I40" s="77"/>
      <c r="J40" s="263"/>
      <c r="K40" s="157">
        <v>0</v>
      </c>
      <c r="L40" s="54">
        <v>0</v>
      </c>
      <c r="M40" s="114"/>
      <c r="N40" s="66"/>
      <c r="O40" s="127"/>
      <c r="P40" s="147">
        <f t="shared" si="3"/>
        <v>30.967079999999999</v>
      </c>
      <c r="Q40" s="16">
        <v>0</v>
      </c>
      <c r="R40" s="8">
        <v>11.48723</v>
      </c>
      <c r="S40" s="13">
        <v>19.93027</v>
      </c>
      <c r="T40" s="13">
        <v>0</v>
      </c>
      <c r="U40" s="13">
        <v>0</v>
      </c>
      <c r="V40" s="45">
        <v>0</v>
      </c>
      <c r="W40" s="25">
        <f t="shared" si="4"/>
        <v>11.036809999999999</v>
      </c>
      <c r="Y40" s="279" t="s">
        <v>209</v>
      </c>
    </row>
    <row r="41" spans="1:349" x14ac:dyDescent="0.25">
      <c r="A41" s="1">
        <v>5419</v>
      </c>
      <c r="B41" s="1" t="s">
        <v>59</v>
      </c>
      <c r="C41" s="1" t="s">
        <v>33</v>
      </c>
      <c r="D41" s="4">
        <v>19.565760000000001</v>
      </c>
      <c r="E41" s="282" t="s">
        <v>223</v>
      </c>
      <c r="F41" s="252">
        <v>19.565761999999999</v>
      </c>
      <c r="G41" s="247"/>
      <c r="H41" s="253"/>
      <c r="I41" s="77"/>
      <c r="J41" s="263"/>
      <c r="K41" s="157">
        <v>5.8548610000000005</v>
      </c>
      <c r="L41" s="54">
        <v>0</v>
      </c>
      <c r="M41" s="114"/>
      <c r="N41" s="66"/>
      <c r="O41" s="127"/>
      <c r="P41" s="147">
        <f t="shared" si="3"/>
        <v>0.68509000000000242</v>
      </c>
      <c r="Q41" s="16">
        <v>18.880669999999999</v>
      </c>
      <c r="R41" s="8">
        <v>0</v>
      </c>
      <c r="S41" s="13">
        <v>8.0546790000000001</v>
      </c>
      <c r="T41" s="13">
        <v>4.0667999999999997</v>
      </c>
      <c r="U41" s="13">
        <v>0</v>
      </c>
      <c r="V41" s="45">
        <v>0</v>
      </c>
      <c r="W41" s="280">
        <f t="shared" si="4"/>
        <v>7.4442810000000001</v>
      </c>
      <c r="Y41" s="279" t="s">
        <v>221</v>
      </c>
    </row>
    <row r="42" spans="1:349" x14ac:dyDescent="0.25">
      <c r="A42" s="1">
        <v>5420</v>
      </c>
      <c r="B42" s="1" t="s">
        <v>59</v>
      </c>
      <c r="C42" s="1" t="s">
        <v>33</v>
      </c>
      <c r="D42" s="4">
        <v>13.46088</v>
      </c>
      <c r="E42" s="247" t="s">
        <v>223</v>
      </c>
      <c r="F42" s="253">
        <v>13.460882</v>
      </c>
      <c r="G42" s="78"/>
      <c r="H42" s="260"/>
      <c r="I42" s="77"/>
      <c r="J42" s="263"/>
      <c r="K42" s="157">
        <v>0</v>
      </c>
      <c r="L42" s="54">
        <v>0</v>
      </c>
      <c r="M42" s="114"/>
      <c r="N42" s="66"/>
      <c r="O42" s="127"/>
      <c r="P42" s="147">
        <f t="shared" si="3"/>
        <v>13.46088</v>
      </c>
      <c r="Q42" s="16">
        <v>0</v>
      </c>
      <c r="R42" s="8">
        <v>12.48813</v>
      </c>
      <c r="S42" s="13">
        <v>11.590661000000001</v>
      </c>
      <c r="T42" s="13">
        <v>0.88260000000000005</v>
      </c>
      <c r="U42" s="13">
        <v>0.98760000000000003</v>
      </c>
      <c r="V42" s="45">
        <v>0</v>
      </c>
      <c r="W42" s="25">
        <f t="shared" si="4"/>
        <v>1.8999999998214889E-5</v>
      </c>
      <c r="Y42" s="279" t="s">
        <v>213</v>
      </c>
    </row>
    <row r="43" spans="1:349" s="44" customFormat="1" x14ac:dyDescent="0.25">
      <c r="A43" s="42">
        <v>5425</v>
      </c>
      <c r="B43" s="42" t="s">
        <v>59</v>
      </c>
      <c r="C43" s="42" t="s">
        <v>33</v>
      </c>
      <c r="D43" s="84">
        <v>9.9435610000000008</v>
      </c>
      <c r="E43" s="288" t="s">
        <v>227</v>
      </c>
      <c r="F43" s="258">
        <v>9.9435610000000008</v>
      </c>
      <c r="G43" s="249"/>
      <c r="H43" s="258"/>
      <c r="I43" s="249"/>
      <c r="J43" s="258"/>
      <c r="K43" s="272">
        <v>4.86E-4</v>
      </c>
      <c r="L43" s="273">
        <v>0</v>
      </c>
      <c r="M43" s="215"/>
      <c r="N43" s="215"/>
      <c r="O43" s="216"/>
      <c r="P43" s="147">
        <f t="shared" si="3"/>
        <v>9.9435610000000008</v>
      </c>
      <c r="Q43" s="217">
        <v>0</v>
      </c>
      <c r="R43" s="218">
        <v>0</v>
      </c>
      <c r="S43" s="225">
        <v>0</v>
      </c>
      <c r="T43" s="225">
        <v>0</v>
      </c>
      <c r="U43" s="225">
        <v>0</v>
      </c>
      <c r="V43" s="226">
        <v>0</v>
      </c>
      <c r="W43" s="284">
        <f t="shared" si="4"/>
        <v>9.9435610000000008</v>
      </c>
      <c r="X43"/>
      <c r="Y43" s="279" t="s">
        <v>222</v>
      </c>
      <c r="Z43"/>
      <c r="AA43"/>
      <c r="AB43"/>
      <c r="AC43"/>
      <c r="AD43"/>
    </row>
    <row r="44" spans="1:349" s="44" customFormat="1" ht="24.75" x14ac:dyDescent="0.25">
      <c r="A44" s="42">
        <v>5426</v>
      </c>
      <c r="B44" s="42" t="s">
        <v>59</v>
      </c>
      <c r="C44" s="42" t="s">
        <v>33</v>
      </c>
      <c r="D44" s="84">
        <v>10.11717</v>
      </c>
      <c r="E44" s="247" t="s">
        <v>219</v>
      </c>
      <c r="F44" s="253">
        <v>10.117171000000001</v>
      </c>
      <c r="G44" s="78"/>
      <c r="H44" s="260"/>
      <c r="I44" s="77"/>
      <c r="J44" s="263"/>
      <c r="K44" s="274">
        <v>0</v>
      </c>
      <c r="L44" s="55">
        <v>0</v>
      </c>
      <c r="M44" s="115"/>
      <c r="N44" s="219"/>
      <c r="O44" s="220"/>
      <c r="P44" s="147">
        <f t="shared" si="3"/>
        <v>10.11717</v>
      </c>
      <c r="Q44" s="146">
        <v>0</v>
      </c>
      <c r="R44" s="93">
        <v>0</v>
      </c>
      <c r="S44" s="13">
        <v>2.2842549999999999</v>
      </c>
      <c r="T44" s="13">
        <v>7.3644999999999996</v>
      </c>
      <c r="U44" s="13">
        <v>3.083E-2</v>
      </c>
      <c r="V44" s="289">
        <v>0</v>
      </c>
      <c r="W44" s="25">
        <f t="shared" si="4"/>
        <v>0.43758500000000033</v>
      </c>
      <c r="X44"/>
      <c r="Y44" s="279" t="s">
        <v>216</v>
      </c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</row>
    <row r="45" spans="1:349" s="44" customFormat="1" x14ac:dyDescent="0.25">
      <c r="A45" s="42">
        <v>5428</v>
      </c>
      <c r="B45" s="42" t="s">
        <v>59</v>
      </c>
      <c r="C45" s="42" t="s">
        <v>33</v>
      </c>
      <c r="D45" s="84">
        <v>14.15104</v>
      </c>
      <c r="E45" s="247"/>
      <c r="F45" s="253"/>
      <c r="G45" s="78"/>
      <c r="H45" s="260"/>
      <c r="I45" s="77"/>
      <c r="J45" s="263"/>
      <c r="K45" s="274">
        <v>0</v>
      </c>
      <c r="L45" s="55">
        <v>0</v>
      </c>
      <c r="M45" s="115" t="s">
        <v>126</v>
      </c>
      <c r="N45" s="222">
        <v>14.15104</v>
      </c>
      <c r="O45" s="220"/>
      <c r="P45" s="147">
        <f t="shared" si="3"/>
        <v>0</v>
      </c>
      <c r="Q45" s="16">
        <v>14.15104</v>
      </c>
      <c r="R45" s="8">
        <v>0</v>
      </c>
      <c r="S45" s="221">
        <v>0</v>
      </c>
      <c r="T45" s="221">
        <v>3.5350000000000001</v>
      </c>
      <c r="U45" s="221">
        <v>0</v>
      </c>
      <c r="V45" s="224">
        <v>0</v>
      </c>
      <c r="W45" s="25">
        <f t="shared" si="4"/>
        <v>10.61604</v>
      </c>
      <c r="X45"/>
      <c r="Y45" s="279" t="s">
        <v>217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</row>
    <row r="46" spans="1:349" s="44" customFormat="1" ht="24.75" x14ac:dyDescent="0.25">
      <c r="A46" s="42">
        <v>5429</v>
      </c>
      <c r="B46" s="42" t="s">
        <v>59</v>
      </c>
      <c r="C46" s="42" t="s">
        <v>33</v>
      </c>
      <c r="D46" s="84">
        <v>22.206299999999999</v>
      </c>
      <c r="E46" s="247" t="s">
        <v>229</v>
      </c>
      <c r="F46" s="253">
        <v>22.206302000000001</v>
      </c>
      <c r="G46" s="78"/>
      <c r="H46" s="260"/>
      <c r="I46" s="77"/>
      <c r="J46" s="263"/>
      <c r="K46" s="274">
        <v>5.2153090000000004</v>
      </c>
      <c r="L46" s="55">
        <v>0</v>
      </c>
      <c r="M46" s="110"/>
      <c r="N46" s="222"/>
      <c r="O46" s="223"/>
      <c r="P46" s="147">
        <f t="shared" si="3"/>
        <v>22.206299999999999</v>
      </c>
      <c r="Q46" s="16">
        <v>0</v>
      </c>
      <c r="R46" s="93">
        <v>5.2996179999999997</v>
      </c>
      <c r="S46" s="97">
        <v>0</v>
      </c>
      <c r="T46" s="90">
        <v>0</v>
      </c>
      <c r="U46" s="90">
        <v>5.3133499999999998</v>
      </c>
      <c r="V46" s="48">
        <v>0</v>
      </c>
      <c r="W46" s="25">
        <f t="shared" si="4"/>
        <v>16.892949999999999</v>
      </c>
      <c r="X46"/>
      <c r="Y46" s="279" t="s">
        <v>218</v>
      </c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</row>
    <row r="47" spans="1:349" s="44" customFormat="1" x14ac:dyDescent="0.25">
      <c r="A47" s="42">
        <v>5431</v>
      </c>
      <c r="B47" s="42" t="s">
        <v>59</v>
      </c>
      <c r="C47" s="42" t="s">
        <v>33</v>
      </c>
      <c r="D47" s="84">
        <v>94.606549999999999</v>
      </c>
      <c r="E47" s="249"/>
      <c r="F47" s="258"/>
      <c r="G47" s="249"/>
      <c r="H47" s="258"/>
      <c r="I47" s="249"/>
      <c r="J47" s="258"/>
      <c r="K47" s="272">
        <v>0</v>
      </c>
      <c r="L47" s="273">
        <v>0</v>
      </c>
      <c r="M47" s="271" t="s">
        <v>126</v>
      </c>
      <c r="N47" s="215">
        <v>94.606549999999999</v>
      </c>
      <c r="O47" s="216"/>
      <c r="P47" s="147">
        <f t="shared" si="3"/>
        <v>0</v>
      </c>
      <c r="Q47" s="217">
        <v>94.606549999999999</v>
      </c>
      <c r="R47" s="218">
        <v>0.63380899999999996</v>
      </c>
      <c r="S47" s="225">
        <v>0</v>
      </c>
      <c r="T47" s="225">
        <v>23.893999999999998</v>
      </c>
      <c r="U47" s="225">
        <v>41.732900000000001</v>
      </c>
      <c r="V47" s="226">
        <v>4.5522299999999998</v>
      </c>
      <c r="W47" s="25">
        <f t="shared" si="4"/>
        <v>24.427419999999998</v>
      </c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</row>
    <row r="48" spans="1:349" x14ac:dyDescent="0.25">
      <c r="A48" s="42">
        <v>5433</v>
      </c>
      <c r="B48" s="42" t="s">
        <v>59</v>
      </c>
      <c r="C48" s="42" t="s">
        <v>33</v>
      </c>
      <c r="D48" s="84">
        <v>30.78134</v>
      </c>
      <c r="E48" s="291" t="s">
        <v>223</v>
      </c>
      <c r="F48" s="253">
        <v>30.781343</v>
      </c>
      <c r="G48" s="78"/>
      <c r="H48" s="260"/>
      <c r="I48" s="77"/>
      <c r="J48" s="263"/>
      <c r="K48" s="274">
        <v>28.991675000000001</v>
      </c>
      <c r="L48" s="55">
        <v>0</v>
      </c>
      <c r="M48" s="115"/>
      <c r="N48" s="219"/>
      <c r="O48" s="220"/>
      <c r="P48" s="147">
        <f t="shared" si="3"/>
        <v>30.586151999999998</v>
      </c>
      <c r="Q48" s="146">
        <v>0.195188</v>
      </c>
      <c r="R48" s="93">
        <v>0</v>
      </c>
      <c r="S48" s="290">
        <v>0</v>
      </c>
      <c r="T48" s="290">
        <v>1.7896000000000001</v>
      </c>
      <c r="U48" s="290">
        <v>0</v>
      </c>
      <c r="V48" s="289">
        <v>0</v>
      </c>
      <c r="W48" s="280">
        <f t="shared" si="4"/>
        <v>28.99174</v>
      </c>
      <c r="Y48" s="285" t="s">
        <v>231</v>
      </c>
    </row>
    <row r="49" spans="1:25" x14ac:dyDescent="0.25">
      <c r="A49" s="42">
        <v>5435</v>
      </c>
      <c r="B49" s="42" t="s">
        <v>59</v>
      </c>
      <c r="C49" s="42" t="s">
        <v>33</v>
      </c>
      <c r="D49" s="214">
        <v>15.943490000000001</v>
      </c>
      <c r="E49" s="247" t="s">
        <v>223</v>
      </c>
      <c r="F49" s="253">
        <v>15.943485000000001</v>
      </c>
      <c r="G49" s="78"/>
      <c r="H49" s="260"/>
      <c r="I49" s="77"/>
      <c r="J49" s="263"/>
      <c r="K49" s="274">
        <v>0</v>
      </c>
      <c r="L49" s="55">
        <v>0</v>
      </c>
      <c r="M49" s="115"/>
      <c r="N49" s="219"/>
      <c r="O49" s="220"/>
      <c r="P49" s="147">
        <f t="shared" si="3"/>
        <v>15.943490000000001</v>
      </c>
      <c r="Q49" s="16">
        <v>0</v>
      </c>
      <c r="R49" s="9">
        <v>0</v>
      </c>
      <c r="S49" s="221">
        <v>15.943485000000001</v>
      </c>
      <c r="T49" s="221">
        <v>0</v>
      </c>
      <c r="U49" s="221">
        <v>0</v>
      </c>
      <c r="V49" s="224">
        <v>0</v>
      </c>
      <c r="W49" s="25">
        <f t="shared" si="4"/>
        <v>4.9999999998107114E-6</v>
      </c>
      <c r="Y49" s="285" t="s">
        <v>209</v>
      </c>
    </row>
    <row r="50" spans="1:25" x14ac:dyDescent="0.25">
      <c r="A50" s="42">
        <v>5436</v>
      </c>
      <c r="B50" s="183" t="s">
        <v>59</v>
      </c>
      <c r="C50" s="42" t="s">
        <v>33</v>
      </c>
      <c r="D50" s="84">
        <v>16.392410000000002</v>
      </c>
      <c r="E50" s="291" t="s">
        <v>223</v>
      </c>
      <c r="F50" s="253">
        <v>16.392410999999999</v>
      </c>
      <c r="G50" s="246"/>
      <c r="H50" s="252"/>
      <c r="I50" s="250"/>
      <c r="J50" s="264"/>
      <c r="K50" s="274">
        <v>0</v>
      </c>
      <c r="L50" s="54">
        <v>0</v>
      </c>
      <c r="M50" s="115"/>
      <c r="N50" s="67"/>
      <c r="O50" s="173"/>
      <c r="P50" s="147">
        <f t="shared" si="3"/>
        <v>0</v>
      </c>
      <c r="Q50" s="146">
        <v>16.392410000000002</v>
      </c>
      <c r="R50" s="8">
        <v>0</v>
      </c>
      <c r="S50" s="97">
        <v>2.091E-3</v>
      </c>
      <c r="T50" s="90">
        <v>0</v>
      </c>
      <c r="U50" s="90">
        <v>0.91015999999999997</v>
      </c>
      <c r="V50" s="91">
        <v>0</v>
      </c>
      <c r="W50" s="280">
        <f t="shared" si="4"/>
        <v>15.480159000000002</v>
      </c>
      <c r="Y50" s="285" t="s">
        <v>232</v>
      </c>
    </row>
    <row r="51" spans="1:25" x14ac:dyDescent="0.25">
      <c r="A51" s="42">
        <v>5437</v>
      </c>
      <c r="B51" s="42" t="s">
        <v>59</v>
      </c>
      <c r="C51" s="42" t="s">
        <v>33</v>
      </c>
      <c r="D51" s="84">
        <v>12.43525</v>
      </c>
      <c r="E51" s="247" t="s">
        <v>223</v>
      </c>
      <c r="F51" s="253">
        <v>12.43525</v>
      </c>
      <c r="G51" s="246"/>
      <c r="H51" s="252"/>
      <c r="I51" s="250"/>
      <c r="J51" s="264"/>
      <c r="K51" s="274">
        <v>0</v>
      </c>
      <c r="L51" s="54">
        <v>0</v>
      </c>
      <c r="M51" s="115"/>
      <c r="N51" s="67"/>
      <c r="O51" s="173"/>
      <c r="P51" s="147">
        <f t="shared" si="3"/>
        <v>12.43525</v>
      </c>
      <c r="Q51" s="16">
        <v>0</v>
      </c>
      <c r="R51" s="8">
        <v>12.43525</v>
      </c>
      <c r="S51" s="13">
        <v>0.26477000000000001</v>
      </c>
      <c r="T51" s="90">
        <v>12.17</v>
      </c>
      <c r="U51" s="90">
        <v>0</v>
      </c>
      <c r="V51" s="91">
        <v>0</v>
      </c>
      <c r="W51" s="25">
        <f t="shared" si="4"/>
        <v>4.7999999999959186E-4</v>
      </c>
      <c r="Y51" s="285" t="s">
        <v>233</v>
      </c>
    </row>
    <row r="52" spans="1:25" ht="24.75" x14ac:dyDescent="0.25">
      <c r="A52" s="42">
        <v>5449</v>
      </c>
      <c r="B52" s="42" t="s">
        <v>59</v>
      </c>
      <c r="C52" s="42" t="s">
        <v>33</v>
      </c>
      <c r="D52" s="84">
        <v>9.8066840000000006</v>
      </c>
      <c r="E52" s="247" t="s">
        <v>229</v>
      </c>
      <c r="F52" s="253">
        <v>9.8066840000000006</v>
      </c>
      <c r="G52" s="78"/>
      <c r="H52" s="260"/>
      <c r="I52" s="77"/>
      <c r="J52" s="263"/>
      <c r="K52" s="274">
        <v>0</v>
      </c>
      <c r="L52" s="55">
        <v>0</v>
      </c>
      <c r="M52" s="110"/>
      <c r="N52" s="65"/>
      <c r="O52" s="173"/>
      <c r="P52" s="147">
        <f t="shared" si="3"/>
        <v>1.4837050000000005</v>
      </c>
      <c r="Q52" s="16">
        <v>8.3229790000000001</v>
      </c>
      <c r="R52" s="8">
        <v>0</v>
      </c>
      <c r="S52" s="97">
        <v>9.6242940000000008</v>
      </c>
      <c r="T52" s="90">
        <v>0.18240000000000001</v>
      </c>
      <c r="U52" s="90">
        <v>0</v>
      </c>
      <c r="V52" s="91">
        <v>0</v>
      </c>
      <c r="W52" s="25">
        <f t="shared" si="4"/>
        <v>-9.9999999996214228E-6</v>
      </c>
      <c r="Y52" s="285" t="s">
        <v>234</v>
      </c>
    </row>
    <row r="53" spans="1:25" ht="24.75" x14ac:dyDescent="0.25">
      <c r="A53" s="42">
        <v>5454</v>
      </c>
      <c r="B53" s="42" t="s">
        <v>59</v>
      </c>
      <c r="C53" s="42" t="s">
        <v>33</v>
      </c>
      <c r="D53" s="84">
        <v>12.07837</v>
      </c>
      <c r="E53" s="248" t="s">
        <v>235</v>
      </c>
      <c r="F53" s="259">
        <v>12.078366000000001</v>
      </c>
      <c r="G53" s="78"/>
      <c r="H53" s="260"/>
      <c r="I53" s="77"/>
      <c r="J53" s="263"/>
      <c r="K53" s="274">
        <v>0.19128600000000001</v>
      </c>
      <c r="L53" s="55">
        <v>0</v>
      </c>
      <c r="M53" s="115"/>
      <c r="N53" s="67"/>
      <c r="O53" s="173"/>
      <c r="P53" s="147">
        <f t="shared" si="3"/>
        <v>12.07837</v>
      </c>
      <c r="Q53" s="146">
        <v>0</v>
      </c>
      <c r="R53" s="8">
        <v>10.420310000000001</v>
      </c>
      <c r="S53" s="97">
        <v>0</v>
      </c>
      <c r="T53" s="90">
        <v>10.7</v>
      </c>
      <c r="U53" s="90">
        <v>0</v>
      </c>
      <c r="V53" s="91">
        <v>0</v>
      </c>
      <c r="W53" s="25">
        <f t="shared" si="4"/>
        <v>1.3783700000000003</v>
      </c>
      <c r="Y53" s="285" t="s">
        <v>236</v>
      </c>
    </row>
    <row r="54" spans="1:25" x14ac:dyDescent="0.25">
      <c r="A54" s="42">
        <v>5471</v>
      </c>
      <c r="B54" s="42" t="s">
        <v>59</v>
      </c>
      <c r="C54" s="42" t="s">
        <v>33</v>
      </c>
      <c r="D54" s="84">
        <v>16.349029999999999</v>
      </c>
      <c r="E54" s="247" t="s">
        <v>223</v>
      </c>
      <c r="F54" s="253">
        <v>16.349027</v>
      </c>
      <c r="G54" s="78"/>
      <c r="H54" s="260"/>
      <c r="I54" s="77"/>
      <c r="J54" s="263"/>
      <c r="K54" s="274">
        <v>3.1854469999999999</v>
      </c>
      <c r="L54" s="55">
        <v>0</v>
      </c>
      <c r="M54" s="110"/>
      <c r="N54" s="65"/>
      <c r="O54" s="173"/>
      <c r="P54" s="147">
        <f t="shared" si="3"/>
        <v>16.349029999999999</v>
      </c>
      <c r="Q54" s="16">
        <v>0</v>
      </c>
      <c r="R54" s="93">
        <v>7.275169</v>
      </c>
      <c r="S54" s="97">
        <v>0</v>
      </c>
      <c r="T54" s="90">
        <v>0</v>
      </c>
      <c r="U54" s="90">
        <v>8.2194699999999994</v>
      </c>
      <c r="V54" s="91">
        <v>0</v>
      </c>
      <c r="W54" s="25">
        <f t="shared" si="4"/>
        <v>8.1295599999999997</v>
      </c>
      <c r="Y54" s="285" t="s">
        <v>237</v>
      </c>
    </row>
    <row r="55" spans="1:25" x14ac:dyDescent="0.25">
      <c r="A55" s="42">
        <v>5526</v>
      </c>
      <c r="B55" s="42" t="s">
        <v>59</v>
      </c>
      <c r="C55" s="42" t="s">
        <v>38</v>
      </c>
      <c r="D55" s="84">
        <v>21.214870000000001</v>
      </c>
      <c r="E55" s="248"/>
      <c r="F55" s="252"/>
      <c r="G55" s="78"/>
      <c r="H55" s="260"/>
      <c r="I55" s="77"/>
      <c r="J55" s="263"/>
      <c r="K55" s="274">
        <v>0</v>
      </c>
      <c r="L55" s="55">
        <v>0</v>
      </c>
      <c r="M55" s="110"/>
      <c r="N55" s="65"/>
      <c r="O55" s="173">
        <v>21.214870000000001</v>
      </c>
      <c r="P55" s="147">
        <f t="shared" si="3"/>
        <v>0</v>
      </c>
      <c r="Q55" s="146">
        <v>21.214870000000001</v>
      </c>
      <c r="R55" s="93">
        <v>0</v>
      </c>
      <c r="S55" s="97">
        <v>0</v>
      </c>
      <c r="T55" s="90">
        <v>10.055</v>
      </c>
      <c r="U55" s="90">
        <v>0</v>
      </c>
      <c r="V55" s="91">
        <v>0</v>
      </c>
      <c r="W55" s="292">
        <f t="shared" si="4"/>
        <v>11.159870000000002</v>
      </c>
      <c r="Y55" s="285" t="s">
        <v>218</v>
      </c>
    </row>
    <row r="56" spans="1:25" x14ac:dyDescent="0.25">
      <c r="A56" s="42">
        <v>5527</v>
      </c>
      <c r="B56" s="42" t="s">
        <v>59</v>
      </c>
      <c r="C56" s="42" t="s">
        <v>38</v>
      </c>
      <c r="D56" s="84">
        <v>12.17967</v>
      </c>
      <c r="E56" s="248" t="s">
        <v>223</v>
      </c>
      <c r="F56" s="252">
        <v>12.179665999999999</v>
      </c>
      <c r="G56" s="78"/>
      <c r="H56" s="260"/>
      <c r="I56" s="77"/>
      <c r="J56" s="263"/>
      <c r="K56" s="157">
        <v>1.5908519999999999</v>
      </c>
      <c r="L56" s="55">
        <v>0</v>
      </c>
      <c r="M56" s="115"/>
      <c r="N56" s="67"/>
      <c r="O56" s="173"/>
      <c r="P56" s="147">
        <f t="shared" si="3"/>
        <v>12.17967</v>
      </c>
      <c r="Q56" s="16">
        <v>0</v>
      </c>
      <c r="R56" s="8">
        <v>0</v>
      </c>
      <c r="S56" s="13">
        <v>12.106452000000001</v>
      </c>
      <c r="T56" s="90">
        <v>0</v>
      </c>
      <c r="U56" s="90">
        <v>7.3209999999999997E-2</v>
      </c>
      <c r="V56" s="91">
        <v>0</v>
      </c>
      <c r="W56" s="25">
        <f t="shared" si="4"/>
        <v>7.9999999993418669E-6</v>
      </c>
    </row>
    <row r="57" spans="1:25" x14ac:dyDescent="0.25">
      <c r="A57" s="42">
        <v>5528</v>
      </c>
      <c r="B57" s="42" t="s">
        <v>59</v>
      </c>
      <c r="C57" s="42" t="s">
        <v>38</v>
      </c>
      <c r="D57" s="84">
        <v>10.2477</v>
      </c>
      <c r="E57" s="293" t="s">
        <v>227</v>
      </c>
      <c r="F57" s="253">
        <v>10.247700999999999</v>
      </c>
      <c r="G57" s="78"/>
      <c r="H57" s="260"/>
      <c r="I57" s="77"/>
      <c r="J57" s="263"/>
      <c r="K57" s="157">
        <v>0</v>
      </c>
      <c r="L57" s="55">
        <v>0</v>
      </c>
      <c r="M57" s="115"/>
      <c r="N57" s="67"/>
      <c r="O57" s="173"/>
      <c r="P57" s="147">
        <f t="shared" si="3"/>
        <v>10.2477</v>
      </c>
      <c r="Q57" s="16">
        <v>0</v>
      </c>
      <c r="R57" s="8">
        <v>1.8463050000000001</v>
      </c>
      <c r="S57" s="97">
        <v>0</v>
      </c>
      <c r="T57" s="90">
        <v>0</v>
      </c>
      <c r="U57" s="90">
        <v>0</v>
      </c>
      <c r="V57" s="91">
        <v>0</v>
      </c>
      <c r="W57" s="284">
        <f t="shared" si="4"/>
        <v>10.2477</v>
      </c>
      <c r="Y57" s="287" t="s">
        <v>225</v>
      </c>
    </row>
    <row r="58" spans="1:25" x14ac:dyDescent="0.25">
      <c r="A58" s="42">
        <v>5529</v>
      </c>
      <c r="B58" s="42" t="s">
        <v>59</v>
      </c>
      <c r="C58" s="42" t="s">
        <v>38</v>
      </c>
      <c r="D58" s="84">
        <v>12.923690000000001</v>
      </c>
      <c r="E58" s="293" t="s">
        <v>227</v>
      </c>
      <c r="F58" s="253">
        <v>12.923692000000001</v>
      </c>
      <c r="G58" s="78"/>
      <c r="H58" s="260"/>
      <c r="I58" s="77"/>
      <c r="J58" s="263"/>
      <c r="K58" s="126">
        <v>1.897767</v>
      </c>
      <c r="L58" s="55">
        <v>12.034725</v>
      </c>
      <c r="M58" s="115"/>
      <c r="N58" s="67"/>
      <c r="O58" s="173"/>
      <c r="P58" s="147">
        <f t="shared" si="3"/>
        <v>12.923690000000001</v>
      </c>
      <c r="Q58" s="16">
        <v>0</v>
      </c>
      <c r="R58" s="8">
        <v>11.02665</v>
      </c>
      <c r="S58" s="13">
        <v>0</v>
      </c>
      <c r="T58" s="90">
        <v>0</v>
      </c>
      <c r="U58" s="90">
        <v>0</v>
      </c>
      <c r="V58" s="91">
        <v>0</v>
      </c>
      <c r="W58" s="284">
        <f t="shared" si="4"/>
        <v>12.923690000000001</v>
      </c>
    </row>
    <row r="59" spans="1:25" ht="24.75" x14ac:dyDescent="0.25">
      <c r="A59" s="42">
        <v>5530</v>
      </c>
      <c r="B59" s="42" t="s">
        <v>59</v>
      </c>
      <c r="C59" s="42" t="s">
        <v>38</v>
      </c>
      <c r="D59" s="84">
        <v>16.950600000000001</v>
      </c>
      <c r="E59" s="295" t="s">
        <v>238</v>
      </c>
      <c r="F59" s="253">
        <v>16.950596000000001</v>
      </c>
      <c r="G59" s="78"/>
      <c r="H59" s="260"/>
      <c r="I59" s="77"/>
      <c r="J59" s="263"/>
      <c r="K59" s="157">
        <v>3.6038760000000001</v>
      </c>
      <c r="L59" s="55">
        <v>0</v>
      </c>
      <c r="M59" s="115"/>
      <c r="N59" s="67"/>
      <c r="O59" s="173"/>
      <c r="P59" s="147">
        <f t="shared" si="3"/>
        <v>16.950600000000001</v>
      </c>
      <c r="Q59" s="16">
        <v>0</v>
      </c>
      <c r="R59" s="8">
        <v>0</v>
      </c>
      <c r="S59" s="97">
        <v>0</v>
      </c>
      <c r="T59" s="90">
        <v>0</v>
      </c>
      <c r="U59" s="90">
        <v>15.4962</v>
      </c>
      <c r="V59" s="91">
        <v>0</v>
      </c>
      <c r="W59" s="294">
        <f t="shared" si="4"/>
        <v>1.4544000000000015</v>
      </c>
    </row>
    <row r="60" spans="1:25" x14ac:dyDescent="0.25">
      <c r="A60" s="42">
        <v>5531</v>
      </c>
      <c r="B60" s="42" t="s">
        <v>59</v>
      </c>
      <c r="C60" s="42" t="s">
        <v>38</v>
      </c>
      <c r="D60" s="84">
        <v>13.42005</v>
      </c>
      <c r="E60" s="293" t="s">
        <v>227</v>
      </c>
      <c r="F60" s="253">
        <v>13.420045999999999</v>
      </c>
      <c r="G60" s="78"/>
      <c r="H60" s="260"/>
      <c r="I60" s="77"/>
      <c r="J60" s="263"/>
      <c r="K60" s="126">
        <v>5.0355480000000004</v>
      </c>
      <c r="L60" s="55">
        <v>1.2525740000000001</v>
      </c>
      <c r="M60" s="115"/>
      <c r="N60" s="67"/>
      <c r="O60" s="173"/>
      <c r="P60" s="147">
        <f t="shared" si="3"/>
        <v>13.42005</v>
      </c>
      <c r="Q60" s="16">
        <v>0</v>
      </c>
      <c r="R60" s="8">
        <v>10.786820000000001</v>
      </c>
      <c r="S60" s="13">
        <v>0</v>
      </c>
      <c r="T60" s="90">
        <v>0</v>
      </c>
      <c r="U60" s="90">
        <v>0</v>
      </c>
      <c r="V60" s="91">
        <v>0</v>
      </c>
      <c r="W60" s="284">
        <f t="shared" si="4"/>
        <v>13.42005</v>
      </c>
    </row>
    <row r="61" spans="1:25" ht="24.75" x14ac:dyDescent="0.25">
      <c r="A61" s="42">
        <v>5532</v>
      </c>
      <c r="B61" s="42" t="s">
        <v>59</v>
      </c>
      <c r="C61" s="42" t="s">
        <v>38</v>
      </c>
      <c r="D61" s="84">
        <v>26.587669999999999</v>
      </c>
      <c r="E61" s="247" t="s">
        <v>219</v>
      </c>
      <c r="F61" s="253">
        <v>23.737233</v>
      </c>
      <c r="G61" s="78"/>
      <c r="H61" s="260"/>
      <c r="I61" s="77"/>
      <c r="J61" s="263"/>
      <c r="K61" s="126">
        <v>13.703675</v>
      </c>
      <c r="L61" s="55">
        <v>9.958024</v>
      </c>
      <c r="M61" s="115"/>
      <c r="N61" s="67"/>
      <c r="O61" s="173">
        <v>2.8504339999999999</v>
      </c>
      <c r="P61" s="147">
        <f t="shared" si="3"/>
        <v>23.737235999999999</v>
      </c>
      <c r="Q61" s="16">
        <v>2.8504339999999999</v>
      </c>
      <c r="R61" s="8">
        <v>3.7576640000000001</v>
      </c>
      <c r="S61" s="97">
        <v>23.683052</v>
      </c>
      <c r="T61" s="90">
        <v>0</v>
      </c>
      <c r="U61" s="90">
        <v>0</v>
      </c>
      <c r="V61" s="91">
        <v>0</v>
      </c>
      <c r="W61" s="292">
        <f t="shared" si="4"/>
        <v>2.9046179999999993</v>
      </c>
    </row>
    <row r="62" spans="1:25" x14ac:dyDescent="0.25">
      <c r="A62" s="42">
        <v>5534</v>
      </c>
      <c r="B62" s="42" t="s">
        <v>59</v>
      </c>
      <c r="C62" s="42" t="s">
        <v>38</v>
      </c>
      <c r="D62" s="84">
        <v>36.329389999999997</v>
      </c>
      <c r="E62" s="293" t="s">
        <v>227</v>
      </c>
      <c r="F62" s="253">
        <v>36.329394000000001</v>
      </c>
      <c r="G62" s="78"/>
      <c r="H62" s="260"/>
      <c r="I62" s="77"/>
      <c r="J62" s="263"/>
      <c r="K62" s="126">
        <v>24.441179999999999</v>
      </c>
      <c r="L62" s="55">
        <v>31.18299</v>
      </c>
      <c r="M62" s="115"/>
      <c r="N62" s="67"/>
      <c r="O62" s="173"/>
      <c r="P62" s="147">
        <f t="shared" si="3"/>
        <v>36.329389999999997</v>
      </c>
      <c r="Q62" s="16">
        <v>0</v>
      </c>
      <c r="R62" s="8">
        <v>36.329389999999997</v>
      </c>
      <c r="S62" s="13">
        <v>0</v>
      </c>
      <c r="T62" s="90">
        <v>0</v>
      </c>
      <c r="U62" s="90">
        <v>0</v>
      </c>
      <c r="V62" s="91">
        <v>0</v>
      </c>
      <c r="W62" s="284">
        <f t="shared" si="4"/>
        <v>36.329389999999997</v>
      </c>
    </row>
    <row r="63" spans="1:25" x14ac:dyDescent="0.25">
      <c r="A63" s="42">
        <v>5535</v>
      </c>
      <c r="B63" s="42" t="s">
        <v>59</v>
      </c>
      <c r="C63" s="42" t="s">
        <v>38</v>
      </c>
      <c r="D63" s="84">
        <v>13.55878</v>
      </c>
      <c r="E63" s="293" t="s">
        <v>227</v>
      </c>
      <c r="F63" s="253">
        <v>13.558778999999999</v>
      </c>
      <c r="G63" s="78"/>
      <c r="H63" s="260"/>
      <c r="I63" s="77"/>
      <c r="J63" s="263"/>
      <c r="K63" s="126">
        <v>0.41520099999999999</v>
      </c>
      <c r="L63" s="55">
        <v>0</v>
      </c>
      <c r="M63" s="115"/>
      <c r="N63" s="67"/>
      <c r="O63" s="173"/>
      <c r="P63" s="147">
        <f t="shared" si="3"/>
        <v>13.55878</v>
      </c>
      <c r="Q63" s="16">
        <v>0</v>
      </c>
      <c r="R63" s="8">
        <v>8.3342650000000003</v>
      </c>
      <c r="S63" s="13">
        <v>0</v>
      </c>
      <c r="T63" s="90">
        <v>0</v>
      </c>
      <c r="U63" s="90">
        <v>0</v>
      </c>
      <c r="V63" s="91">
        <v>0</v>
      </c>
      <c r="W63" s="284">
        <f t="shared" si="4"/>
        <v>13.55878</v>
      </c>
    </row>
    <row r="64" spans="1:25" ht="24.75" x14ac:dyDescent="0.25">
      <c r="A64" s="42">
        <v>5536</v>
      </c>
      <c r="B64" s="42" t="s">
        <v>59</v>
      </c>
      <c r="C64" s="42" t="s">
        <v>38</v>
      </c>
      <c r="D64" s="84">
        <v>13.620990000000001</v>
      </c>
      <c r="E64" s="247" t="s">
        <v>229</v>
      </c>
      <c r="F64" s="253">
        <v>13.620993</v>
      </c>
      <c r="G64" s="78"/>
      <c r="H64" s="260"/>
      <c r="I64" s="77"/>
      <c r="J64" s="263"/>
      <c r="K64" s="157">
        <v>0.119701</v>
      </c>
      <c r="L64" s="55">
        <v>0</v>
      </c>
      <c r="M64" s="110"/>
      <c r="N64" s="65"/>
      <c r="O64" s="173"/>
      <c r="P64" s="147">
        <f t="shared" si="3"/>
        <v>13.620990000000001</v>
      </c>
      <c r="Q64" s="16">
        <v>0</v>
      </c>
      <c r="R64" s="93">
        <v>0</v>
      </c>
      <c r="S64" s="97">
        <v>9.2046250000000001</v>
      </c>
      <c r="T64" s="90">
        <v>4.2967000000000004</v>
      </c>
      <c r="U64" s="90">
        <v>0</v>
      </c>
      <c r="V64" s="91">
        <v>0.1197</v>
      </c>
      <c r="W64" s="25">
        <f t="shared" si="4"/>
        <v>-3.5000000000451337E-5</v>
      </c>
    </row>
    <row r="65" spans="1:23" x14ac:dyDescent="0.25">
      <c r="A65" s="42">
        <v>5537</v>
      </c>
      <c r="B65" s="42" t="s">
        <v>59</v>
      </c>
      <c r="C65" s="42" t="s">
        <v>38</v>
      </c>
      <c r="D65" s="84">
        <v>9.4862140000000004</v>
      </c>
      <c r="E65" s="283" t="s">
        <v>227</v>
      </c>
      <c r="F65" s="252">
        <v>9.4862140000000004</v>
      </c>
      <c r="G65" s="246"/>
      <c r="H65" s="252"/>
      <c r="I65" s="250"/>
      <c r="J65" s="264"/>
      <c r="K65" s="157">
        <v>0</v>
      </c>
      <c r="L65" s="54">
        <v>0</v>
      </c>
      <c r="M65" s="115"/>
      <c r="N65" s="67"/>
      <c r="O65" s="173"/>
      <c r="P65" s="147">
        <f t="shared" si="3"/>
        <v>9.4862140000000004</v>
      </c>
      <c r="Q65" s="16">
        <v>0</v>
      </c>
      <c r="R65" s="8">
        <v>3.2329340000000002</v>
      </c>
      <c r="S65" s="97">
        <v>0</v>
      </c>
      <c r="T65" s="90">
        <v>0</v>
      </c>
      <c r="U65" s="90">
        <v>0</v>
      </c>
      <c r="V65" s="91">
        <v>0</v>
      </c>
      <c r="W65" s="284">
        <f t="shared" si="4"/>
        <v>9.4862140000000004</v>
      </c>
    </row>
    <row r="66" spans="1:23" x14ac:dyDescent="0.25">
      <c r="A66" s="42">
        <v>5538</v>
      </c>
      <c r="B66" s="42" t="s">
        <v>59</v>
      </c>
      <c r="C66" s="42" t="s">
        <v>38</v>
      </c>
      <c r="D66" s="84">
        <v>5.7866819999999999</v>
      </c>
      <c r="E66" s="293" t="s">
        <v>227</v>
      </c>
      <c r="F66" s="253">
        <v>5.7866819999999999</v>
      </c>
      <c r="G66" s="78"/>
      <c r="H66" s="260"/>
      <c r="I66" s="77"/>
      <c r="J66" s="263"/>
      <c r="K66" s="126">
        <v>0</v>
      </c>
      <c r="L66" s="55">
        <v>0</v>
      </c>
      <c r="M66" s="115"/>
      <c r="N66" s="67"/>
      <c r="O66" s="173"/>
      <c r="P66" s="147">
        <f t="shared" si="3"/>
        <v>5.7866819999999999</v>
      </c>
      <c r="Q66" s="146">
        <v>0</v>
      </c>
      <c r="R66" s="8">
        <v>1.2834319999999999</v>
      </c>
      <c r="S66" s="13">
        <v>0</v>
      </c>
      <c r="T66" s="90">
        <v>0</v>
      </c>
      <c r="U66" s="90">
        <v>0</v>
      </c>
      <c r="V66" s="91">
        <v>0</v>
      </c>
      <c r="W66" s="284">
        <f t="shared" si="4"/>
        <v>5.7866819999999999</v>
      </c>
    </row>
    <row r="67" spans="1:23" x14ac:dyDescent="0.25">
      <c r="A67" s="42">
        <v>5540</v>
      </c>
      <c r="B67" s="42" t="s">
        <v>59</v>
      </c>
      <c r="C67" s="42" t="s">
        <v>38</v>
      </c>
      <c r="D67" s="84">
        <v>23.13278</v>
      </c>
      <c r="E67" s="291" t="s">
        <v>223</v>
      </c>
      <c r="F67" s="253">
        <v>22.722394999999999</v>
      </c>
      <c r="G67" s="78"/>
      <c r="H67" s="260"/>
      <c r="I67" s="77"/>
      <c r="J67" s="263"/>
      <c r="K67" s="126">
        <v>6.5977840000000008</v>
      </c>
      <c r="L67" s="55">
        <v>0</v>
      </c>
      <c r="M67" s="110"/>
      <c r="N67" s="65"/>
      <c r="O67" s="173">
        <v>0.410381</v>
      </c>
      <c r="P67" s="147">
        <f t="shared" si="3"/>
        <v>22.722398999999999</v>
      </c>
      <c r="Q67" s="16">
        <v>0.410381</v>
      </c>
      <c r="R67" s="8">
        <v>0</v>
      </c>
      <c r="S67" s="13">
        <v>13.172829</v>
      </c>
      <c r="T67" s="90">
        <v>1.2876000000000001</v>
      </c>
      <c r="U67" s="90">
        <v>0</v>
      </c>
      <c r="V67" s="91">
        <v>0</v>
      </c>
      <c r="W67" s="280">
        <f t="shared" si="4"/>
        <v>8.6723510000000008</v>
      </c>
    </row>
    <row r="68" spans="1:23" x14ac:dyDescent="0.25">
      <c r="A68" s="42">
        <v>5542</v>
      </c>
      <c r="B68" s="42" t="s">
        <v>59</v>
      </c>
      <c r="C68" s="42" t="s">
        <v>38</v>
      </c>
      <c r="D68" s="84">
        <v>23.296420000000001</v>
      </c>
      <c r="E68" s="283" t="s">
        <v>227</v>
      </c>
      <c r="F68" s="252">
        <v>23.296417000000002</v>
      </c>
      <c r="G68" s="78"/>
      <c r="H68" s="260"/>
      <c r="I68" s="77"/>
      <c r="J68" s="263"/>
      <c r="K68" s="157">
        <v>0</v>
      </c>
      <c r="L68" s="55">
        <v>0</v>
      </c>
      <c r="M68" s="110"/>
      <c r="N68" s="65"/>
      <c r="O68" s="173"/>
      <c r="P68" s="147">
        <f t="shared" si="3"/>
        <v>23.296420000000001</v>
      </c>
      <c r="Q68" s="16">
        <v>0</v>
      </c>
      <c r="R68" s="93">
        <v>0</v>
      </c>
      <c r="S68" s="97">
        <v>0</v>
      </c>
      <c r="T68" s="90">
        <v>0</v>
      </c>
      <c r="U68" s="90">
        <v>0</v>
      </c>
      <c r="V68" s="91">
        <v>0</v>
      </c>
      <c r="W68" s="284">
        <f t="shared" si="4"/>
        <v>23.296420000000001</v>
      </c>
    </row>
    <row r="69" spans="1:23" x14ac:dyDescent="0.25">
      <c r="A69" s="42">
        <v>5544</v>
      </c>
      <c r="B69" s="42" t="s">
        <v>59</v>
      </c>
      <c r="C69" s="42" t="s">
        <v>38</v>
      </c>
      <c r="D69" s="84">
        <v>19.524190000000001</v>
      </c>
      <c r="E69" s="283" t="s">
        <v>227</v>
      </c>
      <c r="F69" s="252">
        <v>19.524194000000001</v>
      </c>
      <c r="G69" s="78"/>
      <c r="H69" s="260"/>
      <c r="I69" s="77"/>
      <c r="J69" s="263"/>
      <c r="K69" s="126">
        <v>7.5403999999999999E-2</v>
      </c>
      <c r="L69" s="55">
        <v>0</v>
      </c>
      <c r="M69" s="110"/>
      <c r="N69" s="65"/>
      <c r="O69" s="173"/>
      <c r="P69" s="147">
        <f t="shared" si="3"/>
        <v>19.524190000000001</v>
      </c>
      <c r="Q69" s="16">
        <v>0</v>
      </c>
      <c r="R69" s="8">
        <v>0</v>
      </c>
      <c r="S69" s="97">
        <v>0</v>
      </c>
      <c r="T69" s="90">
        <v>0</v>
      </c>
      <c r="U69" s="90">
        <v>0</v>
      </c>
      <c r="V69" s="91">
        <v>0</v>
      </c>
      <c r="W69" s="284">
        <f t="shared" si="4"/>
        <v>19.524190000000001</v>
      </c>
    </row>
    <row r="70" spans="1:23" x14ac:dyDescent="0.25">
      <c r="A70" s="42">
        <v>5546</v>
      </c>
      <c r="B70" s="42" t="s">
        <v>59</v>
      </c>
      <c r="C70" s="42" t="s">
        <v>38</v>
      </c>
      <c r="D70" s="84">
        <v>12.67624</v>
      </c>
      <c r="E70" s="246" t="s">
        <v>223</v>
      </c>
      <c r="F70" s="252">
        <v>12.676237</v>
      </c>
      <c r="G70" s="78"/>
      <c r="H70" s="260"/>
      <c r="I70" s="77"/>
      <c r="J70" s="263"/>
      <c r="K70" s="126">
        <v>0</v>
      </c>
      <c r="L70" s="55">
        <v>0</v>
      </c>
      <c r="M70" s="110"/>
      <c r="N70" s="65"/>
      <c r="O70" s="173"/>
      <c r="P70" s="147">
        <f t="shared" si="3"/>
        <v>12.67624</v>
      </c>
      <c r="Q70" s="16">
        <v>0</v>
      </c>
      <c r="R70" s="8">
        <v>0</v>
      </c>
      <c r="S70" s="97">
        <v>7.1034090000000001</v>
      </c>
      <c r="T70" s="90">
        <v>0</v>
      </c>
      <c r="U70" s="90">
        <v>4.77536</v>
      </c>
      <c r="V70" s="91">
        <v>0</v>
      </c>
      <c r="W70" s="25">
        <f t="shared" si="4"/>
        <v>0.79747099999999982</v>
      </c>
    </row>
    <row r="71" spans="1:23" x14ac:dyDescent="0.25">
      <c r="A71" s="42">
        <v>5548</v>
      </c>
      <c r="B71" s="42" t="s">
        <v>59</v>
      </c>
      <c r="C71" s="42" t="s">
        <v>38</v>
      </c>
      <c r="D71" s="84">
        <v>9.471679</v>
      </c>
      <c r="E71" s="283" t="s">
        <v>227</v>
      </c>
      <c r="F71" s="252">
        <v>9.471679</v>
      </c>
      <c r="G71" s="78"/>
      <c r="H71" s="260"/>
      <c r="I71" s="77"/>
      <c r="J71" s="263"/>
      <c r="K71" s="126">
        <v>4.9677990000000003</v>
      </c>
      <c r="L71" s="55">
        <v>0</v>
      </c>
      <c r="M71" s="110"/>
      <c r="N71" s="65"/>
      <c r="O71" s="173"/>
      <c r="P71" s="147">
        <f t="shared" si="3"/>
        <v>9.471679</v>
      </c>
      <c r="Q71" s="16">
        <v>0</v>
      </c>
      <c r="R71" s="8">
        <v>0</v>
      </c>
      <c r="S71" s="13">
        <v>0</v>
      </c>
      <c r="T71" s="90">
        <v>0</v>
      </c>
      <c r="U71" s="90">
        <v>0</v>
      </c>
      <c r="V71" s="91">
        <v>0</v>
      </c>
      <c r="W71" s="284">
        <f t="shared" si="4"/>
        <v>9.471679</v>
      </c>
    </row>
    <row r="72" spans="1:23" ht="24.75" x14ac:dyDescent="0.25">
      <c r="A72" s="42">
        <v>5550</v>
      </c>
      <c r="B72" s="42" t="s">
        <v>59</v>
      </c>
      <c r="C72" s="42" t="s">
        <v>38</v>
      </c>
      <c r="D72" s="84">
        <v>30.62002</v>
      </c>
      <c r="E72" s="246" t="s">
        <v>214</v>
      </c>
      <c r="F72" s="252">
        <v>0.42861199999999999</v>
      </c>
      <c r="G72" s="78"/>
      <c r="H72" s="260"/>
      <c r="I72" s="77"/>
      <c r="J72" s="263"/>
      <c r="K72" s="126">
        <v>0</v>
      </c>
      <c r="L72" s="55">
        <v>0</v>
      </c>
      <c r="M72" s="115" t="s">
        <v>126</v>
      </c>
      <c r="N72" s="65">
        <v>30.62002</v>
      </c>
      <c r="O72" s="173"/>
      <c r="P72" s="147">
        <f t="shared" si="3"/>
        <v>0</v>
      </c>
      <c r="Q72" s="146">
        <v>30.62002</v>
      </c>
      <c r="R72" s="8">
        <v>0</v>
      </c>
      <c r="S72" s="13">
        <v>0</v>
      </c>
      <c r="T72" s="90">
        <v>0</v>
      </c>
      <c r="U72" s="90">
        <v>12.340400000000001</v>
      </c>
      <c r="V72" s="91">
        <v>0</v>
      </c>
      <c r="W72" s="25">
        <f t="shared" si="4"/>
        <v>18.279620000000001</v>
      </c>
    </row>
    <row r="73" spans="1:23" x14ac:dyDescent="0.25">
      <c r="A73" s="42">
        <v>5555</v>
      </c>
      <c r="B73" s="42" t="s">
        <v>59</v>
      </c>
      <c r="C73" s="42" t="s">
        <v>38</v>
      </c>
      <c r="D73" s="84">
        <v>15.581490000000001</v>
      </c>
      <c r="E73" s="247" t="s">
        <v>223</v>
      </c>
      <c r="F73" s="253">
        <v>15.152875</v>
      </c>
      <c r="G73" s="78"/>
      <c r="H73" s="260"/>
      <c r="I73" s="77"/>
      <c r="J73" s="263"/>
      <c r="K73" s="126">
        <v>0.27019599999999999</v>
      </c>
      <c r="L73" s="55">
        <v>2.5799270000000001</v>
      </c>
      <c r="M73" s="110"/>
      <c r="N73" s="65"/>
      <c r="O73" s="173"/>
      <c r="P73" s="147">
        <f t="shared" si="3"/>
        <v>5.7385330000000003</v>
      </c>
      <c r="Q73" s="16">
        <v>9.8429570000000002</v>
      </c>
      <c r="R73" s="8">
        <v>3.145238</v>
      </c>
      <c r="S73" s="97">
        <v>0</v>
      </c>
      <c r="T73" s="90">
        <v>0</v>
      </c>
      <c r="U73" s="90">
        <v>13.3306</v>
      </c>
      <c r="V73" s="91">
        <v>0</v>
      </c>
      <c r="W73" s="25">
        <f t="shared" si="4"/>
        <v>2.2508900000000001</v>
      </c>
    </row>
    <row r="74" spans="1:23" x14ac:dyDescent="0.25">
      <c r="A74" s="42">
        <v>5637</v>
      </c>
      <c r="B74" s="42" t="s">
        <v>59</v>
      </c>
      <c r="C74" s="42" t="s">
        <v>40</v>
      </c>
      <c r="D74" s="84">
        <v>8.9960249999999995</v>
      </c>
      <c r="E74" s="283" t="s">
        <v>227</v>
      </c>
      <c r="F74" s="252">
        <v>8.9960249999999995</v>
      </c>
      <c r="G74" s="78"/>
      <c r="H74" s="260"/>
      <c r="I74" s="77"/>
      <c r="J74" s="263"/>
      <c r="K74" s="126">
        <v>0</v>
      </c>
      <c r="L74" s="55">
        <v>0</v>
      </c>
      <c r="M74" s="115"/>
      <c r="N74" s="67"/>
      <c r="O74" s="173"/>
      <c r="P74" s="147">
        <f t="shared" si="3"/>
        <v>8.9960249999999995</v>
      </c>
      <c r="Q74" s="146">
        <v>0</v>
      </c>
      <c r="R74" s="8">
        <v>4.4582360000000003</v>
      </c>
      <c r="S74" s="13">
        <v>0</v>
      </c>
      <c r="T74" s="90">
        <v>0</v>
      </c>
      <c r="U74" s="90">
        <v>0</v>
      </c>
      <c r="V74" s="91">
        <v>0</v>
      </c>
      <c r="W74" s="284">
        <f t="shared" si="4"/>
        <v>8.9960249999999995</v>
      </c>
    </row>
    <row r="75" spans="1:23" x14ac:dyDescent="0.25">
      <c r="A75" s="42">
        <v>5641</v>
      </c>
      <c r="B75" s="42" t="s">
        <v>59</v>
      </c>
      <c r="C75" s="42" t="s">
        <v>41</v>
      </c>
      <c r="D75" s="84">
        <v>6.6468230000000004</v>
      </c>
      <c r="E75" s="293" t="s">
        <v>227</v>
      </c>
      <c r="F75" s="253">
        <v>6.6468230000000004</v>
      </c>
      <c r="G75" s="246"/>
      <c r="H75" s="252"/>
      <c r="I75" s="250"/>
      <c r="J75" s="264"/>
      <c r="K75" s="126">
        <v>0</v>
      </c>
      <c r="L75" s="54">
        <v>6.6468230000000004</v>
      </c>
      <c r="M75" s="115"/>
      <c r="N75" s="67"/>
      <c r="O75" s="173"/>
      <c r="P75" s="147">
        <f t="shared" si="3"/>
        <v>6.6468230000000004</v>
      </c>
      <c r="Q75" s="146">
        <v>0</v>
      </c>
      <c r="R75" s="8">
        <v>6.6468230000000004</v>
      </c>
      <c r="S75" s="97">
        <v>0</v>
      </c>
      <c r="T75" s="90">
        <v>0</v>
      </c>
      <c r="U75" s="90">
        <v>0</v>
      </c>
      <c r="V75" s="91">
        <v>0</v>
      </c>
      <c r="W75" s="284">
        <f t="shared" si="4"/>
        <v>6.6468230000000004</v>
      </c>
    </row>
    <row r="76" spans="1:23" ht="24.75" x14ac:dyDescent="0.25">
      <c r="A76" s="42">
        <v>5642</v>
      </c>
      <c r="B76" s="42" t="s">
        <v>59</v>
      </c>
      <c r="C76" s="42" t="s">
        <v>41</v>
      </c>
      <c r="D76" s="84">
        <v>17.332699999999999</v>
      </c>
      <c r="E76" s="247" t="s">
        <v>229</v>
      </c>
      <c r="F76" s="253">
        <v>10.878838999999999</v>
      </c>
      <c r="G76" s="247" t="s">
        <v>219</v>
      </c>
      <c r="H76" s="253">
        <v>2.4678059999999999</v>
      </c>
      <c r="I76" s="250"/>
      <c r="J76" s="264"/>
      <c r="K76" s="126">
        <v>0</v>
      </c>
      <c r="L76" s="54">
        <v>0</v>
      </c>
      <c r="M76" s="115"/>
      <c r="N76" s="67"/>
      <c r="O76" s="173">
        <v>3.9860500000000001</v>
      </c>
      <c r="P76" s="147">
        <f t="shared" si="3"/>
        <v>13.346651</v>
      </c>
      <c r="Q76" s="16">
        <v>3.986049</v>
      </c>
      <c r="R76" s="8">
        <v>8.0441900000000004</v>
      </c>
      <c r="S76" s="13">
        <v>2.6015160000000002</v>
      </c>
      <c r="T76" s="90">
        <v>8.0434999999999999</v>
      </c>
      <c r="U76" s="90">
        <v>6.68771</v>
      </c>
      <c r="V76" s="91">
        <v>0</v>
      </c>
      <c r="W76" s="25">
        <f t="shared" si="4"/>
        <v>-2.600000000185787E-5</v>
      </c>
    </row>
    <row r="77" spans="1:23" x14ac:dyDescent="0.25">
      <c r="A77" s="42">
        <v>5645</v>
      </c>
      <c r="B77" s="42" t="s">
        <v>59</v>
      </c>
      <c r="C77" s="42" t="s">
        <v>41</v>
      </c>
      <c r="D77" s="84">
        <v>6.6031899999999997</v>
      </c>
      <c r="E77" s="293" t="s">
        <v>227</v>
      </c>
      <c r="F77" s="253">
        <v>6.6031899999999997</v>
      </c>
      <c r="G77" s="246"/>
      <c r="H77" s="252"/>
      <c r="I77" s="250"/>
      <c r="J77" s="264"/>
      <c r="K77" s="157">
        <v>0</v>
      </c>
      <c r="L77" s="54">
        <v>0</v>
      </c>
      <c r="M77" s="115"/>
      <c r="N77" s="67"/>
      <c r="O77" s="173"/>
      <c r="P77" s="147">
        <f t="shared" si="3"/>
        <v>6.6031899999999997</v>
      </c>
      <c r="Q77" s="16">
        <v>0</v>
      </c>
      <c r="R77" s="8">
        <v>5.2552709999999996</v>
      </c>
      <c r="S77" s="97">
        <v>0</v>
      </c>
      <c r="T77" s="90">
        <v>0</v>
      </c>
      <c r="U77" s="90">
        <v>0</v>
      </c>
      <c r="V77" s="91">
        <v>0</v>
      </c>
      <c r="W77" s="284">
        <f t="shared" si="4"/>
        <v>6.6031899999999997</v>
      </c>
    </row>
    <row r="78" spans="1:23" ht="24.75" x14ac:dyDescent="0.25">
      <c r="A78" s="42">
        <v>5646</v>
      </c>
      <c r="B78" s="42" t="s">
        <v>59</v>
      </c>
      <c r="C78" s="42" t="s">
        <v>41</v>
      </c>
      <c r="D78" s="84">
        <v>10.340159999999999</v>
      </c>
      <c r="E78" s="247" t="s">
        <v>229</v>
      </c>
      <c r="F78" s="253">
        <v>10.340157</v>
      </c>
      <c r="G78" s="78"/>
      <c r="H78" s="260"/>
      <c r="I78" s="77"/>
      <c r="J78" s="263"/>
      <c r="K78" s="126">
        <v>0.239734</v>
      </c>
      <c r="L78" s="55">
        <v>0</v>
      </c>
      <c r="M78" s="110"/>
      <c r="N78" s="65"/>
      <c r="O78" s="173"/>
      <c r="P78" s="147">
        <f t="shared" si="3"/>
        <v>10.010902999999999</v>
      </c>
      <c r="Q78" s="16">
        <v>0.32925700000000002</v>
      </c>
      <c r="R78" s="93">
        <v>0</v>
      </c>
      <c r="S78" s="97">
        <v>3.636854</v>
      </c>
      <c r="T78" s="90">
        <v>6.7032999999999996</v>
      </c>
      <c r="U78" s="90">
        <v>0</v>
      </c>
      <c r="V78" s="91">
        <v>0</v>
      </c>
      <c r="W78" s="25">
        <f t="shared" si="4"/>
        <v>5.999999999062311E-6</v>
      </c>
    </row>
    <row r="79" spans="1:23" x14ac:dyDescent="0.25">
      <c r="A79" s="42">
        <v>5647</v>
      </c>
      <c r="B79" s="42" t="s">
        <v>59</v>
      </c>
      <c r="C79" s="42" t="s">
        <v>41</v>
      </c>
      <c r="D79" s="84">
        <v>20.5228</v>
      </c>
      <c r="E79" s="246" t="s">
        <v>223</v>
      </c>
      <c r="F79" s="252">
        <v>20.522796</v>
      </c>
      <c r="G79" s="73"/>
      <c r="H79" s="260"/>
      <c r="I79" s="77"/>
      <c r="J79" s="263"/>
      <c r="K79" s="126">
        <v>0</v>
      </c>
      <c r="L79" s="55">
        <v>0</v>
      </c>
      <c r="M79" s="110"/>
      <c r="N79" s="65"/>
      <c r="O79" s="173"/>
      <c r="P79" s="147">
        <f t="shared" si="3"/>
        <v>20.5228</v>
      </c>
      <c r="Q79" s="146">
        <v>0</v>
      </c>
      <c r="R79" s="8">
        <v>11.35026</v>
      </c>
      <c r="S79" s="97">
        <v>16.417863000000001</v>
      </c>
      <c r="T79" s="90">
        <v>4.1048999999999998</v>
      </c>
      <c r="U79" s="90">
        <v>0</v>
      </c>
      <c r="V79" s="91">
        <v>0</v>
      </c>
      <c r="W79" s="25">
        <f t="shared" si="4"/>
        <v>3.6999999998954536E-5</v>
      </c>
    </row>
    <row r="80" spans="1:23" x14ac:dyDescent="0.25">
      <c r="A80" s="42">
        <v>5648</v>
      </c>
      <c r="B80" s="42" t="s">
        <v>59</v>
      </c>
      <c r="C80" s="42" t="s">
        <v>41</v>
      </c>
      <c r="D80" s="84">
        <v>29.34158</v>
      </c>
      <c r="E80" s="283" t="s">
        <v>227</v>
      </c>
      <c r="F80" s="252">
        <v>29.341577999999998</v>
      </c>
      <c r="G80" s="73"/>
      <c r="H80" s="260"/>
      <c r="I80" s="77"/>
      <c r="J80" s="263"/>
      <c r="K80" s="126">
        <v>0</v>
      </c>
      <c r="L80" s="55">
        <v>0</v>
      </c>
      <c r="M80" s="110"/>
      <c r="N80" s="65"/>
      <c r="O80" s="173"/>
      <c r="P80" s="147">
        <f t="shared" si="3"/>
        <v>29.34158</v>
      </c>
      <c r="Q80" s="146">
        <v>0</v>
      </c>
      <c r="R80" s="8">
        <v>2.9186009999999998</v>
      </c>
      <c r="S80" s="97">
        <v>0</v>
      </c>
      <c r="T80" s="90">
        <v>0</v>
      </c>
      <c r="U80" s="90">
        <v>0</v>
      </c>
      <c r="V80" s="91">
        <v>0</v>
      </c>
      <c r="W80" s="284">
        <f t="shared" si="4"/>
        <v>29.34158</v>
      </c>
    </row>
    <row r="81" spans="1:24" ht="24.75" x14ac:dyDescent="0.25">
      <c r="A81" s="42">
        <v>5649</v>
      </c>
      <c r="B81" s="42" t="s">
        <v>59</v>
      </c>
      <c r="C81" s="42" t="s">
        <v>41</v>
      </c>
      <c r="D81" s="84">
        <v>21.090389999999999</v>
      </c>
      <c r="E81" s="246" t="s">
        <v>219</v>
      </c>
      <c r="F81" s="252">
        <v>21.090391</v>
      </c>
      <c r="G81" s="247"/>
      <c r="H81" s="253"/>
      <c r="I81" s="77"/>
      <c r="J81" s="263"/>
      <c r="K81" s="126">
        <v>0</v>
      </c>
      <c r="L81" s="55">
        <v>0</v>
      </c>
      <c r="M81" s="110"/>
      <c r="N81" s="65"/>
      <c r="O81" s="173"/>
      <c r="P81" s="147">
        <f t="shared" si="3"/>
        <v>21.090389999999999</v>
      </c>
      <c r="Q81" s="146">
        <v>0</v>
      </c>
      <c r="R81" s="8">
        <v>0</v>
      </c>
      <c r="S81" s="97">
        <v>17.124858</v>
      </c>
      <c r="T81" s="90">
        <v>0</v>
      </c>
      <c r="U81" s="90">
        <v>3.95851</v>
      </c>
      <c r="V81" s="91">
        <v>0</v>
      </c>
      <c r="W81" s="25">
        <f t="shared" si="4"/>
        <v>7.0219999999991956E-3</v>
      </c>
    </row>
    <row r="82" spans="1:24" x14ac:dyDescent="0.25">
      <c r="A82" s="42">
        <v>5650</v>
      </c>
      <c r="B82" s="42" t="s">
        <v>59</v>
      </c>
      <c r="C82" s="42" t="s">
        <v>41</v>
      </c>
      <c r="D82" s="84">
        <v>43.561669999999999</v>
      </c>
      <c r="E82" s="247" t="s">
        <v>223</v>
      </c>
      <c r="F82" s="253">
        <v>43.561666000000002</v>
      </c>
      <c r="G82" s="246"/>
      <c r="H82" s="252"/>
      <c r="I82" s="250"/>
      <c r="J82" s="264"/>
      <c r="K82" s="126">
        <v>1.8291390000000001</v>
      </c>
      <c r="L82" s="54">
        <v>0</v>
      </c>
      <c r="M82" s="110"/>
      <c r="N82" s="65"/>
      <c r="O82" s="173"/>
      <c r="P82" s="147">
        <f t="shared" si="3"/>
        <v>42.867424</v>
      </c>
      <c r="Q82" s="146">
        <v>0.69424600000000003</v>
      </c>
      <c r="R82" s="8">
        <v>0</v>
      </c>
      <c r="S82" s="97">
        <v>0</v>
      </c>
      <c r="T82" s="90">
        <v>35.985999999999997</v>
      </c>
      <c r="U82" s="90">
        <v>0</v>
      </c>
      <c r="V82" s="91">
        <v>0</v>
      </c>
      <c r="W82" s="25">
        <f t="shared" si="4"/>
        <v>7.5756700000000023</v>
      </c>
    </row>
    <row r="83" spans="1:24" x14ac:dyDescent="0.25">
      <c r="A83" s="42">
        <v>5651</v>
      </c>
      <c r="B83" s="42" t="s">
        <v>59</v>
      </c>
      <c r="C83" s="42" t="s">
        <v>41</v>
      </c>
      <c r="D83" s="84">
        <v>39.901809999999998</v>
      </c>
      <c r="E83" s="293" t="s">
        <v>227</v>
      </c>
      <c r="F83" s="252">
        <v>39.901808000000003</v>
      </c>
      <c r="G83" s="73"/>
      <c r="H83" s="260"/>
      <c r="I83" s="77"/>
      <c r="J83" s="263"/>
      <c r="K83" s="126">
        <v>7.1236809999999995</v>
      </c>
      <c r="L83" s="55">
        <v>0</v>
      </c>
      <c r="M83" s="115"/>
      <c r="N83" s="67"/>
      <c r="O83" s="173"/>
      <c r="P83" s="147">
        <f t="shared" si="3"/>
        <v>39.901809999999998</v>
      </c>
      <c r="Q83" s="16">
        <v>0</v>
      </c>
      <c r="R83" s="8">
        <v>0</v>
      </c>
      <c r="S83" s="97">
        <v>0</v>
      </c>
      <c r="T83" s="90">
        <v>0</v>
      </c>
      <c r="U83" s="90">
        <v>0</v>
      </c>
      <c r="V83" s="91">
        <v>0</v>
      </c>
      <c r="W83" s="284">
        <f t="shared" si="4"/>
        <v>39.901809999999998</v>
      </c>
    </row>
    <row r="84" spans="1:24" ht="24.75" x14ac:dyDescent="0.25">
      <c r="A84" s="42">
        <v>5653</v>
      </c>
      <c r="B84" s="42" t="s">
        <v>59</v>
      </c>
      <c r="C84" s="42" t="s">
        <v>41</v>
      </c>
      <c r="D84" s="84">
        <v>9.563542</v>
      </c>
      <c r="E84" s="247" t="s">
        <v>229</v>
      </c>
      <c r="F84" s="253">
        <v>9.563542</v>
      </c>
      <c r="G84" s="73"/>
      <c r="H84" s="260"/>
      <c r="I84" s="77"/>
      <c r="J84" s="263"/>
      <c r="K84" s="126">
        <v>0</v>
      </c>
      <c r="L84" s="55">
        <v>0</v>
      </c>
      <c r="M84" s="110"/>
      <c r="N84" s="65"/>
      <c r="O84" s="173"/>
      <c r="P84" s="147">
        <f t="shared" si="3"/>
        <v>9.563542</v>
      </c>
      <c r="Q84" s="146">
        <v>0</v>
      </c>
      <c r="R84" s="8">
        <v>2.2410559999999999</v>
      </c>
      <c r="S84" s="97">
        <v>9.0190999999999993E-2</v>
      </c>
      <c r="T84" s="90">
        <v>8.7391000000000005</v>
      </c>
      <c r="U84" s="90">
        <v>1.447E-2</v>
      </c>
      <c r="V84" s="91">
        <v>0</v>
      </c>
      <c r="W84" s="25">
        <f t="shared" si="4"/>
        <v>0.71978099999999934</v>
      </c>
    </row>
    <row r="85" spans="1:24" x14ac:dyDescent="0.25">
      <c r="A85" s="42">
        <v>5655</v>
      </c>
      <c r="B85" s="42" t="s">
        <v>59</v>
      </c>
      <c r="C85" s="42" t="s">
        <v>41</v>
      </c>
      <c r="D85" s="84">
        <v>11.68988</v>
      </c>
      <c r="E85" s="247" t="s">
        <v>223</v>
      </c>
      <c r="F85" s="252">
        <v>11.689882000000001</v>
      </c>
      <c r="G85" s="73"/>
      <c r="H85" s="260"/>
      <c r="I85" s="77"/>
      <c r="J85" s="263"/>
      <c r="K85" s="126">
        <v>1.4714430000000001</v>
      </c>
      <c r="L85" s="55">
        <v>2.297091</v>
      </c>
      <c r="M85" s="115"/>
      <c r="N85" s="67"/>
      <c r="O85" s="173"/>
      <c r="P85" s="147">
        <f t="shared" si="3"/>
        <v>11.68988</v>
      </c>
      <c r="Q85" s="16">
        <v>0</v>
      </c>
      <c r="R85" s="8">
        <v>0</v>
      </c>
      <c r="S85" s="97">
        <v>9.9704000000000001E-2</v>
      </c>
      <c r="T85" s="90">
        <v>4.0862999999999996</v>
      </c>
      <c r="U85" s="90">
        <v>6.0324</v>
      </c>
      <c r="V85" s="91">
        <v>1.4714400000000001</v>
      </c>
      <c r="W85" s="25">
        <f t="shared" si="4"/>
        <v>3.6000000001479293E-5</v>
      </c>
    </row>
    <row r="86" spans="1:24" x14ac:dyDescent="0.25">
      <c r="A86" s="59" t="s">
        <v>52</v>
      </c>
      <c r="B86" s="59" t="s">
        <v>59</v>
      </c>
      <c r="C86" s="59"/>
      <c r="D86" s="83">
        <f>SUM(D27:D85)</f>
        <v>1100.6399629999999</v>
      </c>
      <c r="E86" s="83"/>
      <c r="F86" s="83">
        <f>SUM(F27:F85)</f>
        <v>871.33032000000014</v>
      </c>
      <c r="G86" s="83"/>
      <c r="H86" s="83">
        <f>SUM(H27:H85)</f>
        <v>12.411750999999999</v>
      </c>
      <c r="I86" s="83"/>
      <c r="J86" s="83">
        <f>SUM(J27:J85)</f>
        <v>0</v>
      </c>
      <c r="K86" s="83">
        <f>SUM(K27:K85)</f>
        <v>140.85921100000004</v>
      </c>
      <c r="L86" s="83">
        <f>SUM(L27:L85)</f>
        <v>80.830433999999983</v>
      </c>
      <c r="M86" s="83"/>
      <c r="N86" s="83">
        <f t="shared" ref="N86:W86" si="5">SUM(N27:N85)</f>
        <v>139.37761</v>
      </c>
      <c r="O86" s="83">
        <f t="shared" si="5"/>
        <v>77.520245000000017</v>
      </c>
      <c r="P86" s="83">
        <f t="shared" si="5"/>
        <v>829.08439199999998</v>
      </c>
      <c r="Q86" s="83">
        <f t="shared" si="5"/>
        <v>271.55557099999999</v>
      </c>
      <c r="R86" s="83">
        <f t="shared" si="5"/>
        <v>215.74685199999999</v>
      </c>
      <c r="S86" s="83">
        <f t="shared" si="5"/>
        <v>249.96923399999997</v>
      </c>
      <c r="T86" s="83">
        <f t="shared" si="5"/>
        <v>172.98681000000002</v>
      </c>
      <c r="U86" s="83">
        <f t="shared" si="5"/>
        <v>133.20348000000001</v>
      </c>
      <c r="V86" s="83">
        <f t="shared" si="5"/>
        <v>10.793089999999999</v>
      </c>
      <c r="W86" s="83">
        <f t="shared" si="5"/>
        <v>533.68734899999993</v>
      </c>
      <c r="X86" s="83"/>
    </row>
    <row r="87" spans="1:24" x14ac:dyDescent="0.25">
      <c r="A87" s="184"/>
      <c r="B87" s="184"/>
      <c r="C87" s="184"/>
      <c r="D87" s="185"/>
      <c r="E87" s="186"/>
      <c r="F87" s="187"/>
      <c r="G87" s="32"/>
      <c r="H87" s="33"/>
      <c r="I87" s="33"/>
      <c r="J87" s="189"/>
      <c r="K87" s="190"/>
      <c r="L87" s="33"/>
      <c r="M87" s="196"/>
      <c r="N87" s="197"/>
      <c r="O87" s="197"/>
      <c r="P87" s="25"/>
      <c r="Q87" s="144"/>
      <c r="R87" s="198"/>
      <c r="S87" s="485"/>
      <c r="T87" s="486"/>
      <c r="U87" s="486"/>
      <c r="V87" s="86"/>
      <c r="W87" s="49"/>
    </row>
    <row r="88" spans="1:24" x14ac:dyDescent="0.25">
      <c r="A88" s="211"/>
      <c r="B88" s="99"/>
      <c r="C88" s="99"/>
      <c r="D88" s="209"/>
      <c r="E88" s="208"/>
      <c r="F88" s="34"/>
      <c r="G88" s="32"/>
      <c r="H88" s="33"/>
      <c r="I88" s="33"/>
      <c r="J88" s="189"/>
      <c r="K88" s="190"/>
      <c r="L88" s="33"/>
      <c r="M88" s="196"/>
      <c r="N88" s="197"/>
      <c r="O88" s="197"/>
      <c r="P88" s="25"/>
      <c r="Q88" s="193"/>
      <c r="R88" s="198"/>
      <c r="S88" s="50"/>
      <c r="T88" s="50"/>
      <c r="U88" s="50"/>
      <c r="V88" s="165"/>
      <c r="W88" s="50"/>
      <c r="X88" s="138"/>
    </row>
    <row r="89" spans="1:24" x14ac:dyDescent="0.25">
      <c r="A89" s="42"/>
      <c r="B89" s="42"/>
      <c r="C89" s="210"/>
      <c r="D89" s="84"/>
      <c r="E89" s="79"/>
      <c r="F89" s="74"/>
      <c r="G89" s="79"/>
      <c r="H89" s="74"/>
      <c r="I89" s="74"/>
      <c r="J89" s="105"/>
      <c r="K89" s="126"/>
      <c r="L89" s="117"/>
      <c r="M89" s="110"/>
      <c r="N89" s="65"/>
      <c r="O89" s="173"/>
      <c r="P89" s="6"/>
      <c r="Q89" s="146"/>
      <c r="R89" s="93"/>
      <c r="S89" s="97"/>
      <c r="T89" s="90"/>
      <c r="U89" s="90"/>
      <c r="V89" s="91"/>
      <c r="W89" s="25"/>
    </row>
    <row r="90" spans="1:24" x14ac:dyDescent="0.25">
      <c r="A90" s="42"/>
      <c r="B90" s="42"/>
      <c r="C90" s="210"/>
      <c r="D90" s="84"/>
      <c r="E90" s="79"/>
      <c r="F90" s="74"/>
      <c r="G90" s="73"/>
      <c r="H90" s="77"/>
      <c r="I90" s="77"/>
      <c r="J90" s="109"/>
      <c r="K90" s="126"/>
      <c r="L90" s="116"/>
      <c r="M90" s="110"/>
      <c r="N90" s="65"/>
      <c r="O90" s="173"/>
      <c r="P90" s="6"/>
      <c r="Q90" s="16"/>
      <c r="R90" s="9"/>
      <c r="S90" s="13"/>
      <c r="T90" s="90"/>
      <c r="U90" s="90"/>
      <c r="V90" s="91"/>
      <c r="W90" s="25"/>
    </row>
    <row r="91" spans="1:24" x14ac:dyDescent="0.25">
      <c r="A91" s="42"/>
      <c r="B91" s="42"/>
      <c r="C91" s="210"/>
      <c r="D91" s="84"/>
      <c r="E91" s="79"/>
      <c r="F91" s="74"/>
      <c r="G91" s="75"/>
      <c r="H91" s="76"/>
      <c r="I91" s="77"/>
      <c r="J91" s="109"/>
      <c r="K91" s="126"/>
      <c r="L91" s="116"/>
      <c r="M91" s="115"/>
      <c r="N91" s="67"/>
      <c r="O91" s="173"/>
      <c r="P91" s="6"/>
      <c r="Q91" s="16"/>
      <c r="R91" s="8"/>
      <c r="S91" s="97"/>
      <c r="T91" s="90"/>
      <c r="U91" s="90"/>
      <c r="V91" s="91"/>
      <c r="W91" s="25"/>
    </row>
    <row r="92" spans="1:24" x14ac:dyDescent="0.25">
      <c r="A92" s="42"/>
      <c r="B92" s="42"/>
      <c r="C92" s="210"/>
      <c r="D92" s="84"/>
      <c r="E92" s="75"/>
      <c r="F92" s="76"/>
      <c r="G92" s="79"/>
      <c r="H92" s="74"/>
      <c r="I92" s="77"/>
      <c r="J92" s="109"/>
      <c r="K92" s="126"/>
      <c r="L92" s="116"/>
      <c r="M92" s="114"/>
      <c r="N92" s="66"/>
      <c r="O92" s="127"/>
      <c r="P92" s="6"/>
      <c r="Q92" s="146"/>
      <c r="R92" s="9"/>
      <c r="S92" s="97"/>
      <c r="T92" s="90"/>
      <c r="U92" s="90"/>
      <c r="V92" s="91"/>
      <c r="W92" s="25"/>
    </row>
    <row r="93" spans="1:24" x14ac:dyDescent="0.25">
      <c r="A93" s="42"/>
      <c r="B93" s="42"/>
      <c r="C93" s="210"/>
      <c r="D93" s="84"/>
      <c r="E93" s="75"/>
      <c r="F93" s="76"/>
      <c r="G93" s="78"/>
      <c r="H93" s="77"/>
      <c r="I93" s="77"/>
      <c r="J93" s="109"/>
      <c r="K93" s="126"/>
      <c r="L93" s="116"/>
      <c r="M93" s="114"/>
      <c r="N93" s="66"/>
      <c r="O93" s="127"/>
      <c r="P93" s="6"/>
      <c r="Q93" s="16"/>
      <c r="R93" s="93"/>
      <c r="S93" s="13"/>
      <c r="T93" s="90"/>
      <c r="U93" s="90"/>
      <c r="V93" s="91"/>
      <c r="W93" s="25"/>
    </row>
    <row r="94" spans="1:24" x14ac:dyDescent="0.25">
      <c r="A94" s="42"/>
      <c r="B94" s="42"/>
      <c r="C94" s="210"/>
      <c r="D94" s="84"/>
      <c r="E94" s="75"/>
      <c r="F94" s="76"/>
      <c r="G94" s="79"/>
      <c r="H94" s="74"/>
      <c r="I94" s="77"/>
      <c r="J94" s="109"/>
      <c r="K94" s="126"/>
      <c r="L94" s="116"/>
      <c r="M94" s="114"/>
      <c r="N94" s="66"/>
      <c r="O94" s="127"/>
      <c r="P94" s="6"/>
      <c r="Q94" s="16"/>
      <c r="R94" s="9"/>
      <c r="S94" s="13"/>
      <c r="T94" s="90"/>
      <c r="U94" s="90"/>
      <c r="V94" s="91"/>
      <c r="W94" s="25"/>
    </row>
    <row r="95" spans="1:24" x14ac:dyDescent="0.25">
      <c r="A95" s="42"/>
      <c r="B95" s="42"/>
      <c r="C95" s="210"/>
      <c r="D95" s="84"/>
      <c r="E95" s="75"/>
      <c r="F95" s="76"/>
      <c r="G95" s="78"/>
      <c r="H95" s="77"/>
      <c r="I95" s="77"/>
      <c r="J95" s="109"/>
      <c r="K95" s="126"/>
      <c r="L95" s="116"/>
      <c r="M95" s="114"/>
      <c r="N95" s="66"/>
      <c r="O95" s="127"/>
      <c r="P95" s="6"/>
      <c r="Q95" s="16"/>
      <c r="R95" s="8"/>
      <c r="S95" s="13"/>
      <c r="T95" s="90"/>
      <c r="U95" s="90"/>
      <c r="V95" s="91"/>
      <c r="W95" s="25"/>
    </row>
    <row r="96" spans="1:24" x14ac:dyDescent="0.25">
      <c r="A96" s="42"/>
      <c r="B96" s="42"/>
      <c r="C96" s="210"/>
      <c r="D96" s="84"/>
      <c r="E96" s="75"/>
      <c r="F96" s="76"/>
      <c r="G96" s="79"/>
      <c r="H96" s="74"/>
      <c r="I96" s="77"/>
      <c r="J96" s="109"/>
      <c r="K96" s="126"/>
      <c r="L96" s="116"/>
      <c r="M96" s="114"/>
      <c r="N96" s="66"/>
      <c r="O96" s="127"/>
      <c r="P96" s="6"/>
      <c r="Q96" s="16"/>
      <c r="R96" s="8"/>
      <c r="S96" s="13"/>
      <c r="T96" s="90"/>
      <c r="U96" s="90"/>
      <c r="V96" s="91"/>
      <c r="W96" s="25"/>
    </row>
    <row r="97" spans="1:24" x14ac:dyDescent="0.25">
      <c r="A97" s="59"/>
      <c r="B97" s="59"/>
      <c r="C97" s="59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</row>
    <row r="98" spans="1:24" x14ac:dyDescent="0.25">
      <c r="A98" s="42"/>
      <c r="B98" s="42"/>
      <c r="C98" s="42"/>
      <c r="D98" s="84"/>
      <c r="E98" s="75"/>
      <c r="F98" s="76"/>
      <c r="G98" s="78"/>
      <c r="H98" s="77"/>
      <c r="I98" s="77"/>
      <c r="J98" s="109"/>
      <c r="K98" s="126"/>
      <c r="L98" s="116"/>
      <c r="M98" s="114"/>
      <c r="N98" s="66"/>
      <c r="O98" s="127"/>
      <c r="P98" s="6"/>
      <c r="Q98" s="16"/>
      <c r="R98" s="8"/>
      <c r="S98" s="13"/>
      <c r="T98" s="90"/>
      <c r="U98" s="90"/>
      <c r="V98" s="91"/>
      <c r="W98" s="25"/>
    </row>
    <row r="99" spans="1:24" x14ac:dyDescent="0.25">
      <c r="A99" s="42"/>
      <c r="B99" s="42"/>
      <c r="C99" s="42"/>
      <c r="D99" s="84"/>
      <c r="E99" s="75"/>
      <c r="F99" s="76"/>
      <c r="G99" s="75"/>
      <c r="H99" s="76"/>
      <c r="I99" s="77"/>
      <c r="J99" s="109"/>
      <c r="K99" s="126"/>
      <c r="L99" s="116"/>
      <c r="M99" s="114"/>
      <c r="N99" s="66"/>
      <c r="O99" s="127"/>
      <c r="P99" s="6"/>
      <c r="Q99" s="16"/>
      <c r="R99" s="93"/>
      <c r="S99" s="97"/>
      <c r="T99" s="90"/>
      <c r="U99" s="90"/>
      <c r="V99" s="91"/>
      <c r="W99" s="25"/>
    </row>
    <row r="100" spans="1:24" x14ac:dyDescent="0.25">
      <c r="A100" s="42"/>
      <c r="B100" s="42"/>
      <c r="C100" s="42"/>
      <c r="D100" s="84"/>
      <c r="E100" s="75"/>
      <c r="F100" s="76"/>
      <c r="G100" s="73"/>
      <c r="H100" s="77"/>
      <c r="I100" s="77"/>
      <c r="J100" s="109"/>
      <c r="K100" s="126"/>
      <c r="L100" s="116"/>
      <c r="M100" s="114"/>
      <c r="N100" s="66"/>
      <c r="O100" s="127"/>
      <c r="P100" s="6"/>
      <c r="Q100" s="16"/>
      <c r="R100" s="9"/>
      <c r="S100" s="97"/>
      <c r="T100" s="90"/>
      <c r="U100" s="90"/>
      <c r="V100" s="91"/>
      <c r="W100" s="25"/>
    </row>
    <row r="101" spans="1:24" x14ac:dyDescent="0.25">
      <c r="A101" s="42"/>
      <c r="B101" s="42"/>
      <c r="C101" s="42"/>
      <c r="D101" s="84"/>
      <c r="E101" s="75"/>
      <c r="F101" s="76"/>
      <c r="G101" s="73"/>
      <c r="H101" s="77"/>
      <c r="I101" s="77"/>
      <c r="J101" s="109"/>
      <c r="K101" s="126"/>
      <c r="L101" s="116"/>
      <c r="M101" s="114"/>
      <c r="N101" s="66"/>
      <c r="O101" s="127"/>
      <c r="P101" s="6"/>
      <c r="Q101" s="16"/>
      <c r="R101" s="9"/>
      <c r="S101" s="13"/>
      <c r="T101" s="90"/>
      <c r="U101" s="90"/>
      <c r="V101" s="91"/>
      <c r="W101" s="25"/>
    </row>
    <row r="102" spans="1:24" x14ac:dyDescent="0.25">
      <c r="A102" s="42"/>
      <c r="B102" s="42"/>
      <c r="C102" s="42"/>
      <c r="D102" s="84"/>
      <c r="E102" s="75"/>
      <c r="F102" s="76"/>
      <c r="G102" s="79"/>
      <c r="H102" s="74"/>
      <c r="I102" s="74"/>
      <c r="J102" s="105"/>
      <c r="K102" s="126"/>
      <c r="L102" s="117"/>
      <c r="M102" s="114"/>
      <c r="N102" s="66"/>
      <c r="O102" s="127"/>
      <c r="P102" s="6"/>
      <c r="Q102" s="16"/>
      <c r="R102" s="93"/>
      <c r="S102" s="97"/>
      <c r="T102" s="90"/>
      <c r="U102" s="90"/>
      <c r="V102" s="91"/>
      <c r="W102" s="25"/>
    </row>
    <row r="103" spans="1:24" x14ac:dyDescent="0.25">
      <c r="A103" s="42"/>
      <c r="B103" s="42"/>
      <c r="C103" s="42"/>
      <c r="D103" s="84"/>
      <c r="E103" s="75"/>
      <c r="F103" s="76"/>
      <c r="G103" s="75"/>
      <c r="H103" s="76"/>
      <c r="I103" s="77"/>
      <c r="J103" s="109"/>
      <c r="K103" s="126"/>
      <c r="L103" s="116"/>
      <c r="M103" s="114"/>
      <c r="N103" s="66"/>
      <c r="O103" s="127"/>
      <c r="P103" s="6"/>
      <c r="Q103" s="16"/>
      <c r="R103" s="93"/>
      <c r="S103" s="13"/>
      <c r="T103" s="90"/>
      <c r="U103" s="90"/>
      <c r="V103" s="91"/>
      <c r="W103" s="25"/>
    </row>
    <row r="104" spans="1:24" x14ac:dyDescent="0.25">
      <c r="A104" s="42"/>
      <c r="B104" s="42"/>
      <c r="C104" s="42"/>
      <c r="D104" s="84"/>
      <c r="E104" s="75"/>
      <c r="F104" s="76"/>
      <c r="G104" s="75"/>
      <c r="H104" s="76"/>
      <c r="I104" s="75"/>
      <c r="J104" s="111"/>
      <c r="K104" s="126"/>
      <c r="L104" s="118"/>
      <c r="M104" s="115"/>
      <c r="N104" s="67"/>
      <c r="O104" s="173"/>
      <c r="P104" s="6"/>
      <c r="Q104" s="16"/>
      <c r="R104" s="93"/>
      <c r="S104" s="13"/>
      <c r="T104" s="90"/>
      <c r="U104" s="90"/>
      <c r="V104" s="91"/>
      <c r="W104" s="25"/>
    </row>
    <row r="105" spans="1:24" x14ac:dyDescent="0.25">
      <c r="A105" s="42"/>
      <c r="B105" s="42"/>
      <c r="C105" s="42"/>
      <c r="D105" s="84"/>
      <c r="E105" s="75"/>
      <c r="F105" s="76"/>
      <c r="G105" s="75"/>
      <c r="H105" s="76"/>
      <c r="I105" s="77"/>
      <c r="J105" s="109"/>
      <c r="K105" s="126"/>
      <c r="L105" s="116"/>
      <c r="M105" s="115"/>
      <c r="N105" s="67"/>
      <c r="O105" s="130"/>
      <c r="P105" s="6"/>
      <c r="Q105" s="16"/>
      <c r="R105" s="9"/>
      <c r="S105" s="97"/>
      <c r="T105" s="90"/>
      <c r="U105" s="90"/>
      <c r="V105" s="91"/>
      <c r="W105" s="25"/>
    </row>
    <row r="106" spans="1:24" x14ac:dyDescent="0.25">
      <c r="A106" s="42"/>
      <c r="B106" s="42"/>
      <c r="C106" s="42"/>
      <c r="D106" s="84"/>
      <c r="E106" s="75"/>
      <c r="F106" s="76"/>
      <c r="G106" s="78"/>
      <c r="H106" s="77"/>
      <c r="I106" s="77"/>
      <c r="J106" s="109"/>
      <c r="K106" s="126"/>
      <c r="L106" s="116"/>
      <c r="M106" s="115"/>
      <c r="N106" s="67"/>
      <c r="O106" s="130"/>
      <c r="P106" s="6"/>
      <c r="Q106" s="16"/>
      <c r="R106" s="8"/>
      <c r="S106" s="13"/>
      <c r="T106" s="90"/>
      <c r="U106" s="90"/>
      <c r="V106" s="91"/>
      <c r="W106" s="25"/>
    </row>
    <row r="107" spans="1:24" x14ac:dyDescent="0.25">
      <c r="A107" s="42"/>
      <c r="B107" s="42"/>
      <c r="C107" s="42"/>
      <c r="D107" s="84"/>
      <c r="E107" s="75"/>
      <c r="F107" s="76"/>
      <c r="G107" s="78"/>
      <c r="H107" s="77"/>
      <c r="I107" s="77"/>
      <c r="J107" s="109"/>
      <c r="K107" s="126"/>
      <c r="L107" s="116"/>
      <c r="M107" s="115"/>
      <c r="N107" s="67"/>
      <c r="O107" s="130"/>
      <c r="P107" s="6"/>
      <c r="Q107" s="146"/>
      <c r="R107" s="9"/>
      <c r="S107" s="13"/>
      <c r="T107" s="90"/>
      <c r="U107" s="90"/>
      <c r="V107" s="91"/>
      <c r="W107" s="25"/>
    </row>
    <row r="108" spans="1:24" x14ac:dyDescent="0.25">
      <c r="A108" s="42"/>
      <c r="B108" s="42"/>
      <c r="C108" s="42"/>
      <c r="D108" s="84"/>
      <c r="E108" s="75"/>
      <c r="F108" s="76"/>
      <c r="G108" s="78"/>
      <c r="H108" s="77"/>
      <c r="I108" s="77"/>
      <c r="J108" s="109"/>
      <c r="K108" s="126"/>
      <c r="L108" s="116"/>
      <c r="M108" s="115"/>
      <c r="N108" s="67"/>
      <c r="O108" s="130"/>
      <c r="P108" s="6"/>
      <c r="Q108" s="16"/>
      <c r="R108" s="9"/>
      <c r="S108" s="13"/>
      <c r="T108" s="90"/>
      <c r="U108" s="90"/>
      <c r="V108" s="91"/>
      <c r="W108" s="25"/>
    </row>
    <row r="109" spans="1:24" x14ac:dyDescent="0.25">
      <c r="A109" s="42"/>
      <c r="B109" s="42"/>
      <c r="C109" s="42"/>
      <c r="D109" s="84"/>
      <c r="E109" s="75"/>
      <c r="F109" s="76"/>
      <c r="G109" s="78"/>
      <c r="H109" s="77"/>
      <c r="I109" s="77"/>
      <c r="J109" s="109"/>
      <c r="K109" s="126"/>
      <c r="L109" s="116"/>
      <c r="M109" s="115"/>
      <c r="N109" s="67"/>
      <c r="O109" s="130"/>
      <c r="P109" s="6"/>
      <c r="Q109" s="16"/>
      <c r="R109" s="93"/>
      <c r="S109" s="97"/>
      <c r="T109" s="90"/>
      <c r="U109" s="90"/>
      <c r="V109" s="91"/>
      <c r="W109" s="25"/>
    </row>
    <row r="110" spans="1:24" x14ac:dyDescent="0.25">
      <c r="A110" s="42"/>
      <c r="B110" s="42"/>
      <c r="C110" s="42"/>
      <c r="D110" s="84"/>
      <c r="E110" s="75"/>
      <c r="F110" s="76"/>
      <c r="G110" s="78"/>
      <c r="H110" s="77"/>
      <c r="I110" s="77"/>
      <c r="J110" s="109"/>
      <c r="K110" s="126"/>
      <c r="L110" s="116"/>
      <c r="M110" s="115"/>
      <c r="N110" s="67"/>
      <c r="O110" s="130"/>
      <c r="P110" s="6"/>
      <c r="Q110" s="146"/>
      <c r="R110" s="9"/>
      <c r="S110" s="97"/>
      <c r="T110" s="90"/>
      <c r="U110" s="90"/>
      <c r="V110" s="91"/>
      <c r="W110" s="25"/>
    </row>
    <row r="111" spans="1:24" x14ac:dyDescent="0.25">
      <c r="A111" s="42"/>
      <c r="B111" s="42"/>
      <c r="C111" s="42"/>
      <c r="D111" s="84"/>
      <c r="E111" s="75"/>
      <c r="F111" s="76"/>
      <c r="G111" s="78"/>
      <c r="H111" s="77"/>
      <c r="I111" s="77"/>
      <c r="J111" s="109"/>
      <c r="K111" s="126"/>
      <c r="L111" s="116"/>
      <c r="M111" s="110"/>
      <c r="N111" s="65"/>
      <c r="O111" s="173"/>
      <c r="P111" s="6"/>
      <c r="Q111" s="16"/>
      <c r="R111" s="8"/>
      <c r="S111" s="13"/>
      <c r="T111" s="90"/>
      <c r="U111" s="90"/>
      <c r="V111" s="91"/>
      <c r="W111" s="25"/>
    </row>
    <row r="112" spans="1:24" x14ac:dyDescent="0.25">
      <c r="A112" s="42"/>
      <c r="B112" s="42"/>
      <c r="C112" s="42"/>
      <c r="D112" s="84"/>
      <c r="E112" s="75"/>
      <c r="F112" s="76"/>
      <c r="G112" s="79"/>
      <c r="H112" s="74"/>
      <c r="I112" s="79"/>
      <c r="J112" s="105"/>
      <c r="K112" s="126"/>
      <c r="L112" s="117"/>
      <c r="M112" s="115"/>
      <c r="N112" s="67"/>
      <c r="O112" s="130"/>
      <c r="P112" s="6"/>
      <c r="Q112" s="146"/>
      <c r="R112" s="8"/>
      <c r="S112" s="97"/>
      <c r="T112" s="90"/>
      <c r="U112" s="90"/>
      <c r="V112" s="91"/>
      <c r="W112" s="25"/>
    </row>
    <row r="113" spans="1:23" x14ac:dyDescent="0.25">
      <c r="A113" s="42"/>
      <c r="B113" s="42"/>
      <c r="C113" s="42"/>
      <c r="D113" s="84"/>
      <c r="E113" s="75"/>
      <c r="F113" s="76"/>
      <c r="G113" s="78"/>
      <c r="H113" s="77"/>
      <c r="I113" s="77"/>
      <c r="J113" s="109"/>
      <c r="K113" s="126"/>
      <c r="L113" s="116"/>
      <c r="M113" s="115"/>
      <c r="N113" s="67"/>
      <c r="O113" s="130"/>
      <c r="P113" s="6"/>
      <c r="Q113" s="16"/>
      <c r="R113" s="9"/>
      <c r="S113" s="13"/>
      <c r="T113" s="90"/>
      <c r="U113" s="90"/>
      <c r="V113" s="91"/>
      <c r="W113" s="25"/>
    </row>
    <row r="114" spans="1:23" x14ac:dyDescent="0.25">
      <c r="A114" s="42"/>
      <c r="B114" s="42"/>
      <c r="C114" s="42"/>
      <c r="D114" s="84"/>
      <c r="E114" s="75"/>
      <c r="F114" s="76"/>
      <c r="G114" s="78"/>
      <c r="H114" s="77"/>
      <c r="I114" s="77"/>
      <c r="J114" s="109"/>
      <c r="K114" s="126"/>
      <c r="L114" s="116"/>
      <c r="M114" s="115"/>
      <c r="N114" s="67"/>
      <c r="O114" s="130"/>
      <c r="P114" s="6"/>
      <c r="Q114" s="146"/>
      <c r="R114" s="9"/>
      <c r="S114" s="97"/>
      <c r="T114" s="90"/>
      <c r="U114" s="90"/>
      <c r="V114" s="91"/>
      <c r="W114" s="25"/>
    </row>
    <row r="115" spans="1:23" x14ac:dyDescent="0.25">
      <c r="A115" s="42"/>
      <c r="B115" s="42"/>
      <c r="C115" s="42"/>
      <c r="D115" s="84"/>
      <c r="E115" s="75"/>
      <c r="F115" s="76"/>
      <c r="G115" s="78"/>
      <c r="H115" s="77"/>
      <c r="I115" s="77"/>
      <c r="J115" s="109"/>
      <c r="K115" s="126"/>
      <c r="L115" s="116"/>
      <c r="M115" s="115"/>
      <c r="N115" s="67"/>
      <c r="O115" s="130"/>
      <c r="P115" s="6"/>
      <c r="Q115" s="16"/>
      <c r="R115" s="9"/>
      <c r="S115" s="97"/>
      <c r="T115" s="90"/>
      <c r="U115" s="90"/>
      <c r="V115" s="91"/>
      <c r="W115" s="25"/>
    </row>
    <row r="116" spans="1:23" x14ac:dyDescent="0.25">
      <c r="A116" s="42"/>
      <c r="B116" s="42"/>
      <c r="C116" s="42"/>
      <c r="D116" s="84"/>
      <c r="E116" s="75"/>
      <c r="F116" s="76"/>
      <c r="G116" s="78"/>
      <c r="H116" s="77"/>
      <c r="I116" s="77"/>
      <c r="J116" s="109"/>
      <c r="K116" s="126"/>
      <c r="L116" s="116"/>
      <c r="M116" s="115"/>
      <c r="N116" s="67"/>
      <c r="O116" s="130"/>
      <c r="P116" s="6"/>
      <c r="Q116" s="16"/>
      <c r="R116" s="8"/>
      <c r="S116" s="13"/>
      <c r="T116" s="90"/>
      <c r="U116" s="90"/>
      <c r="V116" s="91"/>
      <c r="W116" s="25"/>
    </row>
    <row r="117" spans="1:23" x14ac:dyDescent="0.25">
      <c r="A117" s="42"/>
      <c r="B117" s="42"/>
      <c r="C117" s="42"/>
      <c r="D117" s="84"/>
      <c r="E117" s="75"/>
      <c r="F117" s="76"/>
      <c r="G117" s="78"/>
      <c r="H117" s="77"/>
      <c r="I117" s="77"/>
      <c r="J117" s="109"/>
      <c r="K117" s="126"/>
      <c r="L117" s="116"/>
      <c r="M117" s="115"/>
      <c r="N117" s="67"/>
      <c r="O117" s="173"/>
      <c r="P117" s="6"/>
      <c r="Q117" s="16"/>
      <c r="R117" s="8"/>
      <c r="S117" s="97"/>
      <c r="T117" s="90"/>
      <c r="U117" s="90"/>
      <c r="V117" s="91"/>
      <c r="W117" s="25"/>
    </row>
    <row r="118" spans="1:23" x14ac:dyDescent="0.25">
      <c r="A118" s="42"/>
      <c r="B118" s="42"/>
      <c r="C118" s="42"/>
      <c r="D118" s="84"/>
      <c r="E118" s="75"/>
      <c r="F118" s="76"/>
      <c r="G118" s="73"/>
      <c r="H118" s="77"/>
      <c r="I118" s="77"/>
      <c r="J118" s="109"/>
      <c r="K118" s="126"/>
      <c r="L118" s="116"/>
      <c r="M118" s="114"/>
      <c r="N118" s="66"/>
      <c r="O118" s="127"/>
      <c r="P118" s="6"/>
      <c r="Q118" s="16"/>
      <c r="R118" s="8"/>
      <c r="S118" s="13"/>
      <c r="T118" s="90"/>
      <c r="U118" s="90"/>
      <c r="V118" s="91"/>
      <c r="W118" s="25"/>
    </row>
    <row r="119" spans="1:23" x14ac:dyDescent="0.25">
      <c r="A119" s="42"/>
      <c r="B119" s="42"/>
      <c r="C119" s="42"/>
      <c r="D119" s="84"/>
      <c r="E119" s="75"/>
      <c r="F119" s="76"/>
      <c r="G119" s="73"/>
      <c r="H119" s="77"/>
      <c r="I119" s="77"/>
      <c r="J119" s="109"/>
      <c r="K119" s="126"/>
      <c r="L119" s="116"/>
      <c r="M119" s="114"/>
      <c r="N119" s="66"/>
      <c r="O119" s="127"/>
      <c r="P119" s="6"/>
      <c r="Q119" s="16"/>
      <c r="R119" s="9"/>
      <c r="S119" s="97"/>
      <c r="T119" s="90"/>
      <c r="U119" s="90"/>
      <c r="V119" s="91"/>
      <c r="W119" s="25"/>
    </row>
    <row r="120" spans="1:23" x14ac:dyDescent="0.25">
      <c r="A120" s="42"/>
      <c r="B120" s="42"/>
      <c r="C120" s="42"/>
      <c r="D120" s="84"/>
      <c r="E120" s="75"/>
      <c r="F120" s="76"/>
      <c r="G120" s="75"/>
      <c r="H120" s="76"/>
      <c r="I120" s="75"/>
      <c r="J120" s="111"/>
      <c r="K120" s="126"/>
      <c r="L120" s="118"/>
      <c r="M120" s="114"/>
      <c r="N120" s="66"/>
      <c r="O120" s="127"/>
      <c r="P120" s="6"/>
      <c r="Q120" s="16"/>
      <c r="R120" s="93"/>
      <c r="S120" s="97"/>
      <c r="T120" s="90"/>
      <c r="U120" s="90"/>
      <c r="V120" s="91"/>
      <c r="W120" s="25"/>
    </row>
    <row r="121" spans="1:23" x14ac:dyDescent="0.25">
      <c r="A121" s="42"/>
      <c r="B121" s="42"/>
      <c r="C121" s="42"/>
      <c r="D121" s="84"/>
      <c r="E121" s="75"/>
      <c r="F121" s="76"/>
      <c r="G121" s="73"/>
      <c r="H121" s="77"/>
      <c r="I121" s="77"/>
      <c r="J121" s="109"/>
      <c r="K121" s="126"/>
      <c r="L121" s="116"/>
      <c r="M121" s="114"/>
      <c r="N121" s="66"/>
      <c r="O121" s="127"/>
      <c r="P121" s="6"/>
      <c r="Q121" s="146"/>
      <c r="R121" s="9"/>
      <c r="S121" s="97"/>
      <c r="T121" s="90"/>
      <c r="U121" s="90"/>
      <c r="V121" s="91"/>
      <c r="W121" s="25"/>
    </row>
    <row r="122" spans="1:23" x14ac:dyDescent="0.25">
      <c r="A122" s="42"/>
      <c r="B122" s="42"/>
      <c r="C122" s="42"/>
      <c r="D122" s="84"/>
      <c r="E122" s="75"/>
      <c r="F122" s="76"/>
      <c r="G122" s="79"/>
      <c r="H122" s="74"/>
      <c r="I122" s="74"/>
      <c r="J122" s="105"/>
      <c r="K122" s="126"/>
      <c r="L122" s="117"/>
      <c r="M122" s="114"/>
      <c r="N122" s="66"/>
      <c r="O122" s="127"/>
      <c r="P122" s="6"/>
      <c r="Q122" s="16"/>
      <c r="R122" s="9"/>
      <c r="S122" s="13"/>
      <c r="T122" s="90"/>
      <c r="U122" s="90"/>
      <c r="V122" s="91"/>
      <c r="W122" s="25"/>
    </row>
    <row r="123" spans="1:23" x14ac:dyDescent="0.25">
      <c r="A123" s="42"/>
      <c r="B123" s="42"/>
      <c r="C123" s="42"/>
      <c r="D123" s="84"/>
      <c r="E123" s="75"/>
      <c r="F123" s="76"/>
      <c r="G123" s="79"/>
      <c r="H123" s="74"/>
      <c r="I123" s="74"/>
      <c r="J123" s="105"/>
      <c r="K123" s="126"/>
      <c r="L123" s="117"/>
      <c r="M123" s="114"/>
      <c r="N123" s="66"/>
      <c r="O123" s="127"/>
      <c r="P123" s="6"/>
      <c r="Q123" s="146"/>
      <c r="R123" s="93"/>
      <c r="S123" s="97"/>
      <c r="T123" s="90"/>
      <c r="U123" s="90"/>
      <c r="V123" s="91"/>
      <c r="W123" s="25"/>
    </row>
    <row r="124" spans="1:23" x14ac:dyDescent="0.25">
      <c r="A124" s="42"/>
      <c r="B124" s="42"/>
      <c r="C124" s="42"/>
      <c r="D124" s="84"/>
      <c r="E124" s="75"/>
      <c r="F124" s="76"/>
      <c r="G124" s="79"/>
      <c r="H124" s="74"/>
      <c r="I124" s="77"/>
      <c r="J124" s="109"/>
      <c r="K124" s="126"/>
      <c r="L124" s="116"/>
      <c r="M124" s="114"/>
      <c r="N124" s="66"/>
      <c r="O124" s="127"/>
      <c r="P124" s="6"/>
      <c r="Q124" s="16"/>
      <c r="R124" s="93"/>
      <c r="S124" s="13"/>
      <c r="T124" s="90"/>
      <c r="U124" s="90"/>
      <c r="V124" s="91"/>
      <c r="W124" s="25"/>
    </row>
    <row r="125" spans="1:23" x14ac:dyDescent="0.25">
      <c r="A125" s="42"/>
      <c r="B125" s="42"/>
      <c r="C125" s="42"/>
      <c r="D125" s="84"/>
      <c r="E125" s="75"/>
      <c r="F125" s="76"/>
      <c r="G125" s="79"/>
      <c r="H125" s="74"/>
      <c r="I125" s="77"/>
      <c r="J125" s="109"/>
      <c r="K125" s="126"/>
      <c r="L125" s="116"/>
      <c r="M125" s="114"/>
      <c r="N125" s="66"/>
      <c r="O125" s="127"/>
      <c r="P125" s="6"/>
      <c r="Q125" s="146"/>
      <c r="R125" s="93"/>
      <c r="S125" s="97"/>
      <c r="T125" s="90"/>
      <c r="U125" s="90"/>
      <c r="V125" s="91"/>
      <c r="W125" s="25"/>
    </row>
    <row r="126" spans="1:23" x14ac:dyDescent="0.25">
      <c r="A126" s="42"/>
      <c r="B126" s="42"/>
      <c r="C126" s="42"/>
      <c r="D126" s="84"/>
      <c r="E126" s="75"/>
      <c r="F126" s="76"/>
      <c r="G126" s="73"/>
      <c r="H126" s="77"/>
      <c r="I126" s="77"/>
      <c r="J126" s="109"/>
      <c r="K126" s="126"/>
      <c r="L126" s="116"/>
      <c r="M126" s="114"/>
      <c r="N126" s="66"/>
      <c r="O126" s="127"/>
      <c r="P126" s="6"/>
      <c r="Q126" s="146"/>
      <c r="R126" s="8"/>
      <c r="S126" s="97"/>
      <c r="T126" s="90"/>
      <c r="U126" s="90"/>
      <c r="V126" s="91"/>
      <c r="W126" s="25"/>
    </row>
    <row r="127" spans="1:23" x14ac:dyDescent="0.25">
      <c r="A127" s="42"/>
      <c r="B127" s="42"/>
      <c r="C127" s="42"/>
      <c r="D127" s="84"/>
      <c r="E127" s="75"/>
      <c r="F127" s="76"/>
      <c r="G127" s="78"/>
      <c r="H127" s="77"/>
      <c r="I127" s="77"/>
      <c r="J127" s="109"/>
      <c r="K127" s="126"/>
      <c r="L127" s="116"/>
      <c r="M127" s="114"/>
      <c r="N127" s="66"/>
      <c r="O127" s="127"/>
      <c r="P127" s="6"/>
      <c r="Q127" s="16"/>
      <c r="R127" s="93"/>
      <c r="S127" s="97"/>
      <c r="T127" s="90"/>
      <c r="U127" s="90"/>
      <c r="V127" s="91"/>
      <c r="W127" s="25"/>
    </row>
    <row r="128" spans="1:23" x14ac:dyDescent="0.25">
      <c r="A128" s="42"/>
      <c r="B128" s="42"/>
      <c r="C128" s="42"/>
      <c r="D128" s="84"/>
      <c r="E128" s="75"/>
      <c r="F128" s="76"/>
      <c r="G128" s="78"/>
      <c r="H128" s="77"/>
      <c r="I128" s="77"/>
      <c r="J128" s="109"/>
      <c r="K128" s="126"/>
      <c r="L128" s="116"/>
      <c r="M128" s="110"/>
      <c r="N128" s="65"/>
      <c r="O128" s="173"/>
      <c r="P128" s="6"/>
      <c r="Q128" s="16"/>
      <c r="R128" s="93"/>
      <c r="S128" s="97"/>
      <c r="T128" s="90"/>
      <c r="U128" s="90"/>
      <c r="V128" s="91"/>
      <c r="W128" s="25"/>
    </row>
    <row r="129" spans="1:23" x14ac:dyDescent="0.25">
      <c r="A129" s="42"/>
      <c r="B129" s="42"/>
      <c r="C129" s="42"/>
      <c r="D129" s="84"/>
      <c r="E129" s="79"/>
      <c r="F129" s="74"/>
      <c r="G129" s="78"/>
      <c r="H129" s="77"/>
      <c r="I129" s="77"/>
      <c r="J129" s="109"/>
      <c r="K129" s="126"/>
      <c r="L129" s="116"/>
      <c r="M129" s="115"/>
      <c r="N129" s="67"/>
      <c r="O129" s="130"/>
      <c r="P129" s="6"/>
      <c r="Q129" s="146"/>
      <c r="R129" s="8"/>
      <c r="S129" s="97"/>
      <c r="T129" s="90"/>
      <c r="U129" s="90"/>
      <c r="V129" s="91"/>
      <c r="W129" s="25"/>
    </row>
    <row r="130" spans="1:23" x14ac:dyDescent="0.25">
      <c r="A130" s="42"/>
      <c r="B130" s="42"/>
      <c r="C130" s="42"/>
      <c r="D130" s="84"/>
      <c r="E130" s="75"/>
      <c r="F130" s="76"/>
      <c r="G130" s="78"/>
      <c r="H130" s="77"/>
      <c r="I130" s="77"/>
      <c r="J130" s="109"/>
      <c r="K130" s="126"/>
      <c r="L130" s="116"/>
      <c r="M130" s="115"/>
      <c r="N130" s="67"/>
      <c r="O130" s="130"/>
      <c r="P130" s="6"/>
      <c r="Q130" s="16"/>
      <c r="R130" s="9"/>
      <c r="S130" s="97"/>
      <c r="T130" s="90"/>
      <c r="U130" s="90"/>
      <c r="V130" s="91"/>
      <c r="W130" s="25"/>
    </row>
    <row r="131" spans="1:23" x14ac:dyDescent="0.25">
      <c r="A131" s="42"/>
      <c r="B131" s="42"/>
      <c r="C131" s="42"/>
      <c r="D131" s="84"/>
      <c r="E131" s="75"/>
      <c r="F131" s="76"/>
      <c r="G131" s="78"/>
      <c r="H131" s="77"/>
      <c r="I131" s="77"/>
      <c r="J131" s="109"/>
      <c r="K131" s="126"/>
      <c r="L131" s="116"/>
      <c r="M131" s="115"/>
      <c r="N131" s="67"/>
      <c r="O131" s="130"/>
      <c r="P131" s="6"/>
      <c r="Q131" s="16"/>
      <c r="R131" s="9"/>
      <c r="S131" s="97"/>
      <c r="T131" s="90"/>
      <c r="U131" s="90"/>
      <c r="V131" s="91"/>
      <c r="W131" s="25"/>
    </row>
    <row r="132" spans="1:23" x14ac:dyDescent="0.25">
      <c r="A132" s="42"/>
      <c r="B132" s="42"/>
      <c r="C132" s="42"/>
      <c r="D132" s="84"/>
      <c r="E132" s="75"/>
      <c r="F132" s="76"/>
      <c r="G132" s="78"/>
      <c r="H132" s="77"/>
      <c r="I132" s="77"/>
      <c r="J132" s="109"/>
      <c r="K132" s="126"/>
      <c r="L132" s="116"/>
      <c r="M132" s="115"/>
      <c r="N132" s="67"/>
      <c r="O132" s="130"/>
      <c r="P132" s="6"/>
      <c r="Q132" s="146"/>
      <c r="R132" s="8"/>
      <c r="S132" s="13"/>
      <c r="T132" s="90"/>
      <c r="U132" s="90"/>
      <c r="V132" s="91"/>
      <c r="W132" s="25"/>
    </row>
    <row r="133" spans="1:23" x14ac:dyDescent="0.25">
      <c r="A133" s="42"/>
      <c r="B133" s="42"/>
      <c r="C133" s="42"/>
      <c r="D133" s="84"/>
      <c r="E133" s="75"/>
      <c r="F133" s="76"/>
      <c r="G133" s="78"/>
      <c r="H133" s="77"/>
      <c r="I133" s="77"/>
      <c r="J133" s="109"/>
      <c r="K133" s="126"/>
      <c r="L133" s="116"/>
      <c r="M133" s="110"/>
      <c r="N133" s="65"/>
      <c r="O133" s="173"/>
      <c r="P133" s="6"/>
      <c r="Q133" s="146"/>
      <c r="R133" s="93"/>
      <c r="S133" s="97"/>
      <c r="T133" s="90"/>
      <c r="U133" s="90"/>
      <c r="V133" s="91"/>
      <c r="W133" s="25"/>
    </row>
    <row r="134" spans="1:23" x14ac:dyDescent="0.25">
      <c r="A134" s="42"/>
      <c r="B134" s="42"/>
      <c r="C134" s="42"/>
      <c r="D134" s="84"/>
      <c r="E134" s="75"/>
      <c r="F134" s="76"/>
      <c r="G134" s="73"/>
      <c r="H134" s="77"/>
      <c r="I134" s="77"/>
      <c r="J134" s="109"/>
      <c r="K134" s="126"/>
      <c r="L134" s="116"/>
      <c r="M134" s="110"/>
      <c r="N134" s="65"/>
      <c r="O134" s="173"/>
      <c r="P134" s="6"/>
      <c r="Q134" s="146"/>
      <c r="R134" s="93"/>
      <c r="S134" s="97"/>
      <c r="T134" s="90"/>
      <c r="U134" s="90"/>
      <c r="V134" s="91"/>
      <c r="W134" s="25"/>
    </row>
    <row r="135" spans="1:23" x14ac:dyDescent="0.25">
      <c r="A135" s="42"/>
      <c r="B135" s="42"/>
      <c r="C135" s="42"/>
      <c r="D135" s="84"/>
      <c r="E135" s="79"/>
      <c r="F135" s="74"/>
      <c r="G135" s="78"/>
      <c r="H135" s="77"/>
      <c r="I135" s="77"/>
      <c r="J135" s="109"/>
      <c r="K135" s="126"/>
      <c r="L135" s="116"/>
      <c r="M135" s="110"/>
      <c r="N135" s="65"/>
      <c r="O135" s="173"/>
      <c r="P135" s="6"/>
      <c r="Q135" s="146"/>
      <c r="R135" s="9"/>
      <c r="S135" s="97"/>
      <c r="T135" s="90"/>
      <c r="U135" s="90"/>
      <c r="V135" s="91"/>
      <c r="W135" s="25"/>
    </row>
    <row r="136" spans="1:23" x14ac:dyDescent="0.25">
      <c r="A136" s="42"/>
      <c r="B136" s="42"/>
      <c r="C136" s="42"/>
      <c r="D136" s="84"/>
      <c r="E136" s="79"/>
      <c r="F136" s="74"/>
      <c r="G136" s="79"/>
      <c r="H136" s="74"/>
      <c r="I136" s="77"/>
      <c r="J136" s="109"/>
      <c r="K136" s="126"/>
      <c r="L136" s="116"/>
      <c r="M136" s="110"/>
      <c r="N136" s="65"/>
      <c r="O136" s="173"/>
      <c r="P136" s="6"/>
      <c r="Q136" s="146"/>
      <c r="R136" s="9"/>
      <c r="S136" s="97"/>
      <c r="T136" s="90"/>
      <c r="U136" s="90"/>
      <c r="V136" s="91"/>
      <c r="W136" s="25"/>
    </row>
    <row r="137" spans="1:23" x14ac:dyDescent="0.25">
      <c r="A137" s="42"/>
      <c r="B137" s="42"/>
      <c r="C137" s="42"/>
      <c r="D137" s="84"/>
      <c r="E137" s="79"/>
      <c r="F137" s="74"/>
      <c r="G137" s="79"/>
      <c r="H137" s="74"/>
      <c r="I137" s="77"/>
      <c r="J137" s="109"/>
      <c r="K137" s="126"/>
      <c r="L137" s="116"/>
      <c r="M137" s="110"/>
      <c r="N137" s="65"/>
      <c r="O137" s="173"/>
      <c r="P137" s="6"/>
      <c r="Q137" s="16"/>
      <c r="R137" s="9"/>
      <c r="S137" s="97"/>
      <c r="T137" s="90"/>
      <c r="U137" s="90"/>
      <c r="V137" s="91"/>
      <c r="W137" s="25"/>
    </row>
    <row r="138" spans="1:23" x14ac:dyDescent="0.25">
      <c r="A138" s="42"/>
      <c r="B138" s="42"/>
      <c r="C138" s="42"/>
      <c r="D138" s="84"/>
      <c r="E138" s="79"/>
      <c r="F138" s="74"/>
      <c r="G138" s="78"/>
      <c r="H138" s="77"/>
      <c r="I138" s="77"/>
      <c r="J138" s="109"/>
      <c r="K138" s="126"/>
      <c r="L138" s="116"/>
      <c r="M138" s="115"/>
      <c r="N138" s="67"/>
      <c r="O138" s="130"/>
      <c r="P138" s="6"/>
      <c r="Q138" s="16"/>
      <c r="R138" s="9"/>
      <c r="S138" s="97"/>
      <c r="T138" s="90"/>
      <c r="U138" s="90"/>
      <c r="V138" s="91"/>
      <c r="W138" s="25"/>
    </row>
    <row r="139" spans="1:23" x14ac:dyDescent="0.25">
      <c r="A139" s="42"/>
      <c r="B139" s="42"/>
      <c r="C139" s="42"/>
      <c r="D139" s="84"/>
      <c r="E139" s="75"/>
      <c r="F139" s="76"/>
      <c r="G139" s="78"/>
      <c r="H139" s="77"/>
      <c r="I139" s="77"/>
      <c r="J139" s="109"/>
      <c r="K139" s="126"/>
      <c r="L139" s="116"/>
      <c r="M139" s="115"/>
      <c r="N139" s="67"/>
      <c r="O139" s="130"/>
      <c r="P139" s="6"/>
      <c r="Q139" s="146"/>
      <c r="R139" s="9"/>
      <c r="S139" s="97"/>
      <c r="T139" s="90"/>
      <c r="U139" s="90"/>
      <c r="V139" s="91"/>
      <c r="W139" s="25"/>
    </row>
    <row r="140" spans="1:23" x14ac:dyDescent="0.25">
      <c r="A140" s="42"/>
      <c r="B140" s="42"/>
      <c r="C140" s="42"/>
      <c r="D140" s="84"/>
      <c r="E140" s="75"/>
      <c r="F140" s="76"/>
      <c r="G140" s="79"/>
      <c r="H140" s="74"/>
      <c r="I140" s="77"/>
      <c r="J140" s="109"/>
      <c r="K140" s="126"/>
      <c r="L140" s="116"/>
      <c r="M140" s="115"/>
      <c r="N140" s="67"/>
      <c r="O140" s="130"/>
      <c r="P140" s="6"/>
      <c r="Q140" s="16"/>
      <c r="R140" s="9"/>
      <c r="S140" s="13"/>
      <c r="T140" s="90"/>
      <c r="U140" s="90"/>
      <c r="V140" s="91"/>
      <c r="W140" s="25"/>
    </row>
    <row r="141" spans="1:23" x14ac:dyDescent="0.25">
      <c r="A141" s="42"/>
      <c r="B141" s="42"/>
      <c r="C141" s="42"/>
      <c r="D141" s="84"/>
      <c r="E141" s="75"/>
      <c r="F141" s="76"/>
      <c r="G141" s="78"/>
      <c r="H141" s="77"/>
      <c r="I141" s="77"/>
      <c r="J141" s="109"/>
      <c r="K141" s="126"/>
      <c r="L141" s="116"/>
      <c r="M141" s="115"/>
      <c r="N141" s="67"/>
      <c r="O141" s="130"/>
      <c r="P141" s="6"/>
      <c r="Q141" s="16"/>
      <c r="R141" s="9"/>
      <c r="S141" s="97"/>
      <c r="T141" s="90"/>
      <c r="U141" s="90"/>
      <c r="V141" s="91"/>
      <c r="W141" s="25"/>
    </row>
    <row r="142" spans="1:23" x14ac:dyDescent="0.25">
      <c r="A142" s="42"/>
      <c r="B142" s="42"/>
      <c r="C142" s="42"/>
      <c r="D142" s="84"/>
      <c r="E142" s="75"/>
      <c r="F142" s="76"/>
      <c r="G142" s="79"/>
      <c r="H142" s="74"/>
      <c r="I142" s="77"/>
      <c r="J142" s="109"/>
      <c r="K142" s="126"/>
      <c r="L142" s="116"/>
      <c r="M142" s="115"/>
      <c r="N142" s="67"/>
      <c r="O142" s="130"/>
      <c r="P142" s="6"/>
      <c r="Q142" s="16"/>
      <c r="R142" s="8"/>
      <c r="S142" s="97"/>
      <c r="T142" s="90"/>
      <c r="U142" s="90"/>
      <c r="V142" s="91"/>
      <c r="W142" s="25"/>
    </row>
    <row r="143" spans="1:23" x14ac:dyDescent="0.25">
      <c r="A143" s="42"/>
      <c r="B143" s="42"/>
      <c r="C143" s="42"/>
      <c r="D143" s="84"/>
      <c r="E143" s="75"/>
      <c r="F143" s="76"/>
      <c r="G143" s="79"/>
      <c r="H143" s="74"/>
      <c r="I143" s="77"/>
      <c r="J143" s="109"/>
      <c r="K143" s="126"/>
      <c r="L143" s="116"/>
      <c r="M143" s="115"/>
      <c r="N143" s="67"/>
      <c r="O143" s="130"/>
      <c r="P143" s="6"/>
      <c r="Q143" s="16"/>
      <c r="R143" s="93"/>
      <c r="S143" s="97"/>
      <c r="T143" s="90"/>
      <c r="U143" s="90"/>
      <c r="V143" s="91"/>
      <c r="W143" s="25"/>
    </row>
    <row r="144" spans="1:23" x14ac:dyDescent="0.25">
      <c r="A144" s="42"/>
      <c r="B144" s="42"/>
      <c r="C144" s="42"/>
      <c r="D144" s="84"/>
      <c r="E144" s="75"/>
      <c r="F144" s="76"/>
      <c r="G144" s="78"/>
      <c r="H144" s="77"/>
      <c r="I144" s="77"/>
      <c r="J144" s="109"/>
      <c r="K144" s="126"/>
      <c r="L144" s="116"/>
      <c r="M144" s="110"/>
      <c r="N144" s="65"/>
      <c r="O144" s="173"/>
      <c r="P144" s="6"/>
      <c r="Q144" s="146"/>
      <c r="R144" s="8"/>
      <c r="S144" s="97"/>
      <c r="T144" s="90"/>
      <c r="U144" s="90"/>
      <c r="V144" s="91"/>
      <c r="W144" s="25"/>
    </row>
    <row r="145" spans="1:23" x14ac:dyDescent="0.25">
      <c r="A145" s="42"/>
      <c r="B145" s="42"/>
      <c r="C145" s="42"/>
      <c r="D145" s="84"/>
      <c r="E145" s="79"/>
      <c r="F145" s="74"/>
      <c r="G145" s="78"/>
      <c r="H145" s="77"/>
      <c r="I145" s="77"/>
      <c r="J145" s="109"/>
      <c r="K145" s="126"/>
      <c r="L145" s="116"/>
      <c r="M145" s="110"/>
      <c r="N145" s="65"/>
      <c r="O145" s="173"/>
      <c r="P145" s="6"/>
      <c r="Q145" s="146"/>
      <c r="R145" s="93"/>
      <c r="S145" s="13"/>
      <c r="T145" s="90"/>
      <c r="U145" s="90"/>
      <c r="V145" s="91"/>
      <c r="W145" s="25"/>
    </row>
    <row r="146" spans="1:23" x14ac:dyDescent="0.25">
      <c r="A146" s="42"/>
      <c r="B146" s="42"/>
      <c r="C146" s="42"/>
      <c r="D146" s="84"/>
      <c r="E146" s="79"/>
      <c r="F146" s="74"/>
      <c r="G146" s="78"/>
      <c r="H146" s="77"/>
      <c r="I146" s="77"/>
      <c r="J146" s="109"/>
      <c r="K146" s="126"/>
      <c r="L146" s="116"/>
      <c r="M146" s="115"/>
      <c r="N146" s="67"/>
      <c r="O146" s="130"/>
      <c r="P146" s="6"/>
      <c r="Q146" s="16"/>
      <c r="R146" s="9"/>
      <c r="S146" s="97"/>
      <c r="T146" s="90"/>
      <c r="U146" s="90"/>
      <c r="V146" s="91"/>
      <c r="W146" s="25"/>
    </row>
    <row r="147" spans="1:23" x14ac:dyDescent="0.25">
      <c r="A147" s="42"/>
      <c r="B147" s="42"/>
      <c r="C147" s="42"/>
      <c r="D147" s="84"/>
      <c r="E147" s="75"/>
      <c r="F147" s="76"/>
      <c r="G147" s="78"/>
      <c r="H147" s="77"/>
      <c r="I147" s="77"/>
      <c r="J147" s="109"/>
      <c r="K147" s="126"/>
      <c r="L147" s="116"/>
      <c r="M147" s="110"/>
      <c r="N147" s="65"/>
      <c r="O147" s="173"/>
      <c r="P147" s="6"/>
      <c r="Q147" s="146"/>
      <c r="R147" s="9"/>
      <c r="S147" s="97"/>
      <c r="T147" s="90"/>
      <c r="U147" s="90"/>
      <c r="V147" s="91"/>
      <c r="W147" s="25"/>
    </row>
    <row r="148" spans="1:23" x14ac:dyDescent="0.25">
      <c r="A148" s="42"/>
      <c r="B148" s="42"/>
      <c r="C148" s="42"/>
      <c r="D148" s="84"/>
      <c r="E148" s="79"/>
      <c r="F148" s="74"/>
      <c r="G148" s="78"/>
      <c r="H148" s="77"/>
      <c r="I148" s="77"/>
      <c r="J148" s="109"/>
      <c r="K148" s="126"/>
      <c r="L148" s="116"/>
      <c r="M148" s="115"/>
      <c r="N148" s="67"/>
      <c r="O148" s="173"/>
      <c r="P148" s="6"/>
      <c r="Q148" s="146"/>
      <c r="R148" s="8"/>
      <c r="S148" s="97"/>
      <c r="T148" s="90"/>
      <c r="U148" s="90"/>
      <c r="V148" s="91"/>
      <c r="W148" s="25"/>
    </row>
    <row r="149" spans="1:23" x14ac:dyDescent="0.25">
      <c r="A149" s="42"/>
      <c r="B149" s="42"/>
      <c r="C149" s="42"/>
      <c r="D149" s="84"/>
      <c r="E149" s="75"/>
      <c r="F149" s="76"/>
      <c r="G149" s="79"/>
      <c r="H149" s="74"/>
      <c r="I149" s="74"/>
      <c r="J149" s="105"/>
      <c r="K149" s="126"/>
      <c r="L149" s="117"/>
      <c r="M149" s="115"/>
      <c r="N149" s="67"/>
      <c r="O149" s="130"/>
      <c r="P149" s="6"/>
      <c r="Q149" s="16"/>
      <c r="R149" s="8"/>
      <c r="S149" s="97"/>
      <c r="T149" s="90"/>
      <c r="U149" s="90"/>
      <c r="V149" s="91"/>
      <c r="W149" s="25"/>
    </row>
    <row r="150" spans="1:23" x14ac:dyDescent="0.25">
      <c r="A150" s="42"/>
      <c r="B150" s="42"/>
      <c r="C150" s="42"/>
      <c r="D150" s="84"/>
      <c r="E150" s="75"/>
      <c r="F150" s="76"/>
      <c r="G150" s="75"/>
      <c r="H150" s="76"/>
      <c r="I150" s="77"/>
      <c r="J150" s="109"/>
      <c r="K150" s="126"/>
      <c r="L150" s="116"/>
      <c r="M150" s="115"/>
      <c r="N150" s="67"/>
      <c r="O150" s="130"/>
      <c r="P150" s="6"/>
      <c r="Q150" s="16"/>
      <c r="R150" s="8"/>
      <c r="S150" s="13"/>
      <c r="T150" s="90"/>
      <c r="U150" s="90"/>
      <c r="V150" s="91"/>
      <c r="W150" s="25"/>
    </row>
    <row r="151" spans="1:23" x14ac:dyDescent="0.25">
      <c r="A151" s="42"/>
      <c r="B151" s="42"/>
      <c r="C151" s="42"/>
      <c r="D151" s="84"/>
      <c r="E151" s="75"/>
      <c r="F151" s="76"/>
      <c r="G151" s="75"/>
      <c r="H151" s="76"/>
      <c r="I151" s="77"/>
      <c r="J151" s="109"/>
      <c r="K151" s="126"/>
      <c r="L151" s="116"/>
      <c r="M151" s="115"/>
      <c r="N151" s="67"/>
      <c r="O151" s="130"/>
      <c r="P151" s="6"/>
      <c r="Q151" s="16"/>
      <c r="R151" s="9"/>
      <c r="S151" s="13"/>
      <c r="T151" s="90"/>
      <c r="U151" s="90"/>
      <c r="V151" s="91"/>
      <c r="W151" s="25"/>
    </row>
    <row r="152" spans="1:23" x14ac:dyDescent="0.25">
      <c r="A152" s="42"/>
      <c r="B152" s="42"/>
      <c r="C152" s="42"/>
      <c r="D152" s="84"/>
      <c r="E152" s="75"/>
      <c r="F152" s="76"/>
      <c r="G152" s="78"/>
      <c r="H152" s="77"/>
      <c r="I152" s="77"/>
      <c r="J152" s="109"/>
      <c r="K152" s="126"/>
      <c r="L152" s="116"/>
      <c r="M152" s="115"/>
      <c r="N152" s="67"/>
      <c r="O152" s="173"/>
      <c r="P152" s="6"/>
      <c r="Q152" s="16"/>
      <c r="R152" s="9"/>
      <c r="S152" s="13"/>
      <c r="T152" s="90"/>
      <c r="U152" s="90"/>
      <c r="V152" s="91"/>
      <c r="W152" s="25"/>
    </row>
    <row r="153" spans="1:23" x14ac:dyDescent="0.25">
      <c r="A153" s="42"/>
      <c r="B153" s="42"/>
      <c r="C153" s="42"/>
      <c r="D153" s="84"/>
      <c r="E153" s="75"/>
      <c r="F153" s="76"/>
      <c r="G153" s="78"/>
      <c r="H153" s="77"/>
      <c r="I153" s="77"/>
      <c r="J153" s="109"/>
      <c r="K153" s="126"/>
      <c r="L153" s="116"/>
      <c r="M153" s="115"/>
      <c r="N153" s="67"/>
      <c r="O153" s="173"/>
      <c r="P153" s="6"/>
      <c r="Q153" s="16"/>
      <c r="R153" s="93"/>
      <c r="S153" s="13"/>
      <c r="T153" s="90"/>
      <c r="U153" s="90"/>
      <c r="V153" s="91"/>
      <c r="W153" s="25"/>
    </row>
    <row r="154" spans="1:23" x14ac:dyDescent="0.25">
      <c r="A154" s="42"/>
      <c r="B154" s="42"/>
      <c r="C154" s="42"/>
      <c r="D154" s="84"/>
      <c r="E154" s="75"/>
      <c r="F154" s="76"/>
      <c r="G154" s="79"/>
      <c r="H154" s="74"/>
      <c r="I154" s="74"/>
      <c r="J154" s="105"/>
      <c r="K154" s="126"/>
      <c r="L154" s="117"/>
      <c r="M154" s="114"/>
      <c r="N154" s="66"/>
      <c r="O154" s="127"/>
      <c r="P154" s="6"/>
      <c r="Q154" s="16"/>
      <c r="R154" s="93"/>
      <c r="S154" s="97"/>
      <c r="T154" s="90"/>
      <c r="U154" s="90"/>
      <c r="V154" s="91"/>
      <c r="W154" s="25"/>
    </row>
    <row r="155" spans="1:23" x14ac:dyDescent="0.25">
      <c r="A155" s="42"/>
      <c r="B155" s="42"/>
      <c r="C155" s="42"/>
      <c r="D155" s="84"/>
      <c r="E155" s="75"/>
      <c r="F155" s="76"/>
      <c r="G155" s="75"/>
      <c r="H155" s="76"/>
      <c r="I155" s="77"/>
      <c r="J155" s="109"/>
      <c r="K155" s="126"/>
      <c r="L155" s="116"/>
      <c r="M155" s="114"/>
      <c r="N155" s="66"/>
      <c r="O155" s="127"/>
      <c r="P155" s="6"/>
      <c r="Q155" s="146"/>
      <c r="R155" s="8"/>
      <c r="S155" s="13"/>
      <c r="T155" s="90"/>
      <c r="U155" s="90"/>
      <c r="V155" s="91"/>
      <c r="W155" s="25"/>
    </row>
    <row r="156" spans="1:23" x14ac:dyDescent="0.25">
      <c r="A156" s="42"/>
      <c r="B156" s="42"/>
      <c r="C156" s="42"/>
      <c r="D156" s="84"/>
      <c r="E156" s="75"/>
      <c r="F156" s="76"/>
      <c r="G156" s="79"/>
      <c r="H156" s="74"/>
      <c r="I156" s="74"/>
      <c r="J156" s="105"/>
      <c r="K156" s="126"/>
      <c r="L156" s="117"/>
      <c r="M156" s="114"/>
      <c r="N156" s="66"/>
      <c r="O156" s="127"/>
      <c r="P156" s="6"/>
      <c r="Q156" s="16"/>
      <c r="R156" s="9"/>
      <c r="S156" s="13"/>
      <c r="T156" s="90"/>
      <c r="U156" s="90"/>
      <c r="V156" s="91"/>
      <c r="W156" s="25"/>
    </row>
    <row r="157" spans="1:23" x14ac:dyDescent="0.25">
      <c r="A157" s="42"/>
      <c r="B157" s="42"/>
      <c r="C157" s="42"/>
      <c r="D157" s="84"/>
      <c r="E157" s="75"/>
      <c r="F157" s="76"/>
      <c r="G157" s="75"/>
      <c r="H157" s="76"/>
      <c r="I157" s="75"/>
      <c r="J157" s="111"/>
      <c r="K157" s="126"/>
      <c r="L157" s="118"/>
      <c r="M157" s="115"/>
      <c r="N157" s="67"/>
      <c r="O157" s="173"/>
      <c r="P157" s="6"/>
      <c r="Q157" s="16"/>
      <c r="R157" s="8"/>
      <c r="S157" s="13"/>
      <c r="T157" s="90"/>
      <c r="U157" s="90"/>
      <c r="V157" s="91"/>
      <c r="W157" s="25"/>
    </row>
    <row r="158" spans="1:23" x14ac:dyDescent="0.25">
      <c r="A158" s="42"/>
      <c r="B158" s="42"/>
      <c r="C158" s="42"/>
      <c r="D158" s="84"/>
      <c r="E158" s="75"/>
      <c r="F158" s="76"/>
      <c r="G158" s="79"/>
      <c r="H158" s="74"/>
      <c r="I158" s="74"/>
      <c r="J158" s="105"/>
      <c r="K158" s="126"/>
      <c r="L158" s="117"/>
      <c r="M158" s="115"/>
      <c r="N158" s="67"/>
      <c r="O158" s="130"/>
      <c r="P158" s="6"/>
      <c r="Q158" s="16"/>
      <c r="R158" s="93"/>
      <c r="S158" s="13"/>
      <c r="T158" s="90"/>
      <c r="U158" s="90"/>
      <c r="V158" s="91"/>
      <c r="W158" s="25"/>
    </row>
    <row r="159" spans="1:23" x14ac:dyDescent="0.25">
      <c r="A159" s="42"/>
      <c r="B159" s="42"/>
      <c r="C159" s="42"/>
      <c r="D159" s="84"/>
      <c r="E159" s="75"/>
      <c r="F159" s="76"/>
      <c r="G159" s="78"/>
      <c r="H159" s="77"/>
      <c r="I159" s="77"/>
      <c r="J159" s="109"/>
      <c r="K159" s="126"/>
      <c r="L159" s="116"/>
      <c r="M159" s="115"/>
      <c r="N159" s="67"/>
      <c r="O159" s="130"/>
      <c r="P159" s="6"/>
      <c r="Q159" s="16"/>
      <c r="R159" s="8"/>
      <c r="S159" s="97"/>
      <c r="T159" s="90"/>
      <c r="U159" s="90"/>
      <c r="V159" s="91"/>
      <c r="W159" s="25"/>
    </row>
    <row r="160" spans="1:23" x14ac:dyDescent="0.25">
      <c r="A160" s="42"/>
      <c r="B160" s="42"/>
      <c r="C160" s="42"/>
      <c r="D160" s="84"/>
      <c r="E160" s="75"/>
      <c r="F160" s="76"/>
      <c r="G160" s="78"/>
      <c r="H160" s="77"/>
      <c r="I160" s="77"/>
      <c r="J160" s="109"/>
      <c r="K160" s="126"/>
      <c r="L160" s="116"/>
      <c r="M160" s="115"/>
      <c r="N160" s="67"/>
      <c r="O160" s="130"/>
      <c r="P160" s="6"/>
      <c r="Q160" s="16"/>
      <c r="R160" s="93"/>
      <c r="S160" s="97"/>
      <c r="T160" s="90"/>
      <c r="U160" s="90"/>
      <c r="V160" s="91"/>
      <c r="W160" s="25"/>
    </row>
    <row r="161" spans="1:23" x14ac:dyDescent="0.25">
      <c r="A161" s="42"/>
      <c r="B161" s="42"/>
      <c r="C161" s="42"/>
      <c r="D161" s="84"/>
      <c r="E161" s="75"/>
      <c r="F161" s="76"/>
      <c r="G161" s="75"/>
      <c r="H161" s="76"/>
      <c r="I161" s="77"/>
      <c r="J161" s="109"/>
      <c r="K161" s="126"/>
      <c r="L161" s="116"/>
      <c r="M161" s="115"/>
      <c r="N161" s="67"/>
      <c r="O161" s="173"/>
      <c r="P161" s="6"/>
      <c r="Q161" s="16"/>
      <c r="R161" s="9"/>
      <c r="S161" s="97"/>
      <c r="T161" s="90"/>
      <c r="U161" s="90"/>
      <c r="V161" s="91"/>
      <c r="W161" s="25"/>
    </row>
    <row r="162" spans="1:23" x14ac:dyDescent="0.25">
      <c r="A162" s="42"/>
      <c r="B162" s="42"/>
      <c r="C162" s="42"/>
      <c r="D162" s="84"/>
      <c r="E162" s="75"/>
      <c r="F162" s="76"/>
      <c r="G162" s="79"/>
      <c r="H162" s="74"/>
      <c r="I162" s="74"/>
      <c r="J162" s="105"/>
      <c r="K162" s="126"/>
      <c r="L162" s="117"/>
      <c r="M162" s="115"/>
      <c r="N162" s="67"/>
      <c r="O162" s="173"/>
      <c r="P162" s="6"/>
      <c r="Q162" s="146"/>
      <c r="R162" s="93"/>
      <c r="S162" s="13"/>
      <c r="T162" s="90"/>
      <c r="U162" s="90"/>
      <c r="V162" s="91"/>
      <c r="W162" s="25"/>
    </row>
    <row r="163" spans="1:23" x14ac:dyDescent="0.25">
      <c r="A163" s="42"/>
      <c r="B163" s="42"/>
      <c r="C163" s="42"/>
      <c r="D163" s="84"/>
      <c r="E163" s="75"/>
      <c r="F163" s="76"/>
      <c r="G163" s="78"/>
      <c r="H163" s="77"/>
      <c r="I163" s="77"/>
      <c r="J163" s="109"/>
      <c r="K163" s="126"/>
      <c r="L163" s="116"/>
      <c r="M163" s="115"/>
      <c r="N163" s="67"/>
      <c r="O163" s="130"/>
      <c r="P163" s="6"/>
      <c r="Q163" s="16"/>
      <c r="R163" s="8"/>
      <c r="S163" s="97"/>
      <c r="T163" s="90"/>
      <c r="U163" s="90"/>
      <c r="V163" s="91"/>
      <c r="W163" s="25"/>
    </row>
    <row r="164" spans="1:23" x14ac:dyDescent="0.25">
      <c r="A164" s="42"/>
      <c r="B164" s="42"/>
      <c r="C164" s="42"/>
      <c r="D164" s="84"/>
      <c r="E164" s="75"/>
      <c r="F164" s="76"/>
      <c r="G164" s="78"/>
      <c r="H164" s="77"/>
      <c r="I164" s="77"/>
      <c r="J164" s="109"/>
      <c r="K164" s="126"/>
      <c r="L164" s="116"/>
      <c r="M164" s="115"/>
      <c r="N164" s="67"/>
      <c r="O164" s="130"/>
      <c r="P164" s="6"/>
      <c r="Q164" s="16"/>
      <c r="R164" s="93"/>
      <c r="S164" s="13"/>
      <c r="T164" s="90"/>
      <c r="U164" s="90"/>
      <c r="V164" s="91"/>
      <c r="W164" s="25"/>
    </row>
    <row r="165" spans="1:23" x14ac:dyDescent="0.25">
      <c r="A165" s="42"/>
      <c r="B165" s="42"/>
      <c r="C165" s="42"/>
      <c r="D165" s="84"/>
      <c r="E165" s="75"/>
      <c r="F165" s="76"/>
      <c r="G165" s="78"/>
      <c r="H165" s="77"/>
      <c r="I165" s="77"/>
      <c r="J165" s="109"/>
      <c r="K165" s="126"/>
      <c r="L165" s="116"/>
      <c r="M165" s="115"/>
      <c r="N165" s="67"/>
      <c r="O165" s="173"/>
      <c r="P165" s="6"/>
      <c r="Q165" s="146"/>
      <c r="R165" s="93"/>
      <c r="S165" s="97"/>
      <c r="T165" s="90"/>
      <c r="U165" s="90"/>
      <c r="V165" s="91"/>
      <c r="W165" s="25"/>
    </row>
    <row r="166" spans="1:23" x14ac:dyDescent="0.25">
      <c r="A166" s="42"/>
      <c r="B166" s="42"/>
      <c r="C166" s="42"/>
      <c r="D166" s="84"/>
      <c r="E166" s="75"/>
      <c r="F166" s="76"/>
      <c r="G166" s="78"/>
      <c r="H166" s="77"/>
      <c r="I166" s="77"/>
      <c r="J166" s="109"/>
      <c r="K166" s="126"/>
      <c r="L166" s="116"/>
      <c r="M166" s="115"/>
      <c r="N166" s="67"/>
      <c r="O166" s="130"/>
      <c r="P166" s="6"/>
      <c r="Q166" s="146"/>
      <c r="R166" s="9"/>
      <c r="S166" s="97"/>
      <c r="T166" s="90"/>
      <c r="U166" s="90"/>
      <c r="V166" s="91"/>
      <c r="W166" s="25"/>
    </row>
    <row r="167" spans="1:23" x14ac:dyDescent="0.25">
      <c r="A167" s="42"/>
      <c r="B167" s="42"/>
      <c r="C167" s="42"/>
      <c r="D167" s="84"/>
      <c r="E167" s="75"/>
      <c r="F167" s="76"/>
      <c r="G167" s="78"/>
      <c r="H167" s="77"/>
      <c r="I167" s="77"/>
      <c r="J167" s="109"/>
      <c r="K167" s="126"/>
      <c r="L167" s="116"/>
      <c r="M167" s="115"/>
      <c r="N167" s="67"/>
      <c r="O167" s="130"/>
      <c r="P167" s="6"/>
      <c r="Q167" s="16"/>
      <c r="R167" s="9"/>
      <c r="S167" s="13"/>
      <c r="T167" s="90"/>
      <c r="U167" s="90"/>
      <c r="V167" s="91"/>
      <c r="W167" s="25"/>
    </row>
    <row r="168" spans="1:23" x14ac:dyDescent="0.25">
      <c r="A168" s="42"/>
      <c r="B168" s="42"/>
      <c r="C168" s="42"/>
      <c r="D168" s="84"/>
      <c r="E168" s="75"/>
      <c r="F168" s="76"/>
      <c r="G168" s="78"/>
      <c r="H168" s="77"/>
      <c r="I168" s="77"/>
      <c r="J168" s="109"/>
      <c r="K168" s="126"/>
      <c r="L168" s="116"/>
      <c r="M168" s="115"/>
      <c r="N168" s="67"/>
      <c r="O168" s="130"/>
      <c r="P168" s="6"/>
      <c r="Q168" s="16"/>
      <c r="R168" s="9"/>
      <c r="S168" s="97"/>
      <c r="T168" s="90"/>
      <c r="U168" s="90"/>
      <c r="V168" s="91"/>
      <c r="W168" s="25"/>
    </row>
    <row r="169" spans="1:23" x14ac:dyDescent="0.25">
      <c r="A169" s="42"/>
      <c r="B169" s="42"/>
      <c r="C169" s="42"/>
      <c r="D169" s="84"/>
      <c r="E169" s="75"/>
      <c r="F169" s="76"/>
      <c r="G169" s="79"/>
      <c r="H169" s="74"/>
      <c r="I169" s="74"/>
      <c r="J169" s="105"/>
      <c r="K169" s="126"/>
      <c r="L169" s="117"/>
      <c r="M169" s="115"/>
      <c r="N169" s="67"/>
      <c r="O169" s="130"/>
      <c r="P169" s="6"/>
      <c r="Q169" s="16"/>
      <c r="R169" s="9"/>
      <c r="S169" s="13"/>
      <c r="T169" s="90"/>
      <c r="U169" s="90"/>
      <c r="V169" s="91"/>
      <c r="W169" s="25"/>
    </row>
    <row r="170" spans="1:23" x14ac:dyDescent="0.25">
      <c r="A170" s="42"/>
      <c r="B170" s="42"/>
      <c r="C170" s="42"/>
      <c r="D170" s="84"/>
      <c r="E170" s="75"/>
      <c r="F170" s="76"/>
      <c r="G170" s="78"/>
      <c r="H170" s="77"/>
      <c r="I170" s="77"/>
      <c r="J170" s="109"/>
      <c r="K170" s="126"/>
      <c r="L170" s="116"/>
      <c r="M170" s="115"/>
      <c r="N170" s="67"/>
      <c r="O170" s="130"/>
      <c r="P170" s="6"/>
      <c r="Q170" s="16"/>
      <c r="R170" s="9"/>
      <c r="S170" s="13"/>
      <c r="T170" s="90"/>
      <c r="U170" s="90"/>
      <c r="V170" s="91"/>
      <c r="W170" s="25"/>
    </row>
    <row r="171" spans="1:23" x14ac:dyDescent="0.25">
      <c r="A171" s="42"/>
      <c r="B171" s="42"/>
      <c r="C171" s="42"/>
      <c r="D171" s="84"/>
      <c r="E171" s="75"/>
      <c r="F171" s="76"/>
      <c r="G171" s="78"/>
      <c r="H171" s="77"/>
      <c r="I171" s="77"/>
      <c r="J171" s="109"/>
      <c r="K171" s="126"/>
      <c r="L171" s="116"/>
      <c r="M171" s="115"/>
      <c r="N171" s="67"/>
      <c r="O171" s="130"/>
      <c r="P171" s="6"/>
      <c r="Q171" s="16"/>
      <c r="R171" s="93"/>
      <c r="S171" s="97"/>
      <c r="T171" s="90"/>
      <c r="U171" s="90"/>
      <c r="V171" s="91"/>
      <c r="W171" s="25"/>
    </row>
    <row r="172" spans="1:23" x14ac:dyDescent="0.25">
      <c r="A172" s="42"/>
      <c r="B172" s="42"/>
      <c r="C172" s="42"/>
      <c r="D172" s="84"/>
      <c r="E172" s="79"/>
      <c r="F172" s="74"/>
      <c r="G172" s="79"/>
      <c r="H172" s="74"/>
      <c r="I172" s="74"/>
      <c r="J172" s="105"/>
      <c r="K172" s="126"/>
      <c r="L172" s="117"/>
      <c r="M172" s="115"/>
      <c r="N172" s="67"/>
      <c r="O172" s="130"/>
      <c r="P172" s="6"/>
      <c r="Q172" s="146"/>
      <c r="R172" s="8"/>
      <c r="S172" s="13"/>
      <c r="T172" s="90"/>
      <c r="U172" s="90"/>
      <c r="V172" s="91"/>
      <c r="W172" s="25"/>
    </row>
    <row r="173" spans="1:23" x14ac:dyDescent="0.25">
      <c r="A173" s="42"/>
      <c r="B173" s="42"/>
      <c r="C173" s="42"/>
      <c r="D173" s="84"/>
      <c r="E173" s="75"/>
      <c r="F173" s="76"/>
      <c r="G173" s="78"/>
      <c r="H173" s="77"/>
      <c r="I173" s="77"/>
      <c r="J173" s="109"/>
      <c r="K173" s="126"/>
      <c r="L173" s="116"/>
      <c r="M173" s="115"/>
      <c r="N173" s="67"/>
      <c r="O173" s="130"/>
      <c r="P173" s="6"/>
      <c r="Q173" s="16"/>
      <c r="R173" s="9"/>
      <c r="S173" s="13"/>
      <c r="T173" s="90"/>
      <c r="U173" s="90"/>
      <c r="V173" s="91"/>
      <c r="W173" s="25"/>
    </row>
    <row r="174" spans="1:23" x14ac:dyDescent="0.25">
      <c r="A174" s="42"/>
      <c r="B174" s="42"/>
      <c r="C174" s="42"/>
      <c r="D174" s="84"/>
      <c r="E174" s="75"/>
      <c r="F174" s="76"/>
      <c r="G174" s="75"/>
      <c r="H174" s="76"/>
      <c r="I174" s="77"/>
      <c r="J174" s="109"/>
      <c r="K174" s="126"/>
      <c r="L174" s="116"/>
      <c r="M174" s="115"/>
      <c r="N174" s="67"/>
      <c r="O174" s="173"/>
      <c r="P174" s="6"/>
      <c r="Q174" s="146"/>
      <c r="R174" s="8"/>
      <c r="S174" s="97"/>
      <c r="T174" s="90"/>
      <c r="U174" s="90"/>
      <c r="V174" s="91"/>
      <c r="W174" s="25"/>
    </row>
    <row r="175" spans="1:23" x14ac:dyDescent="0.25">
      <c r="A175" s="42"/>
      <c r="B175" s="42"/>
      <c r="C175" s="42"/>
      <c r="D175" s="84"/>
      <c r="E175" s="75"/>
      <c r="F175" s="76"/>
      <c r="G175" s="78"/>
      <c r="H175" s="77"/>
      <c r="I175" s="77"/>
      <c r="J175" s="109"/>
      <c r="K175" s="126"/>
      <c r="L175" s="116"/>
      <c r="M175" s="115"/>
      <c r="N175" s="67"/>
      <c r="O175" s="130"/>
      <c r="P175" s="6"/>
      <c r="Q175" s="16"/>
      <c r="R175" s="9"/>
      <c r="S175" s="13"/>
      <c r="T175" s="90"/>
      <c r="U175" s="90"/>
      <c r="V175" s="91"/>
      <c r="W175" s="25"/>
    </row>
    <row r="176" spans="1:23" x14ac:dyDescent="0.25">
      <c r="A176" s="42"/>
      <c r="B176" s="42"/>
      <c r="C176" s="42"/>
      <c r="D176" s="84"/>
      <c r="E176" s="75"/>
      <c r="F176" s="76"/>
      <c r="G176" s="79"/>
      <c r="H176" s="74"/>
      <c r="I176" s="74"/>
      <c r="J176" s="105"/>
      <c r="K176" s="126"/>
      <c r="L176" s="117"/>
      <c r="M176" s="115"/>
      <c r="N176" s="67"/>
      <c r="O176" s="130"/>
      <c r="P176" s="6"/>
      <c r="Q176" s="146"/>
      <c r="R176" s="8"/>
      <c r="S176" s="97"/>
      <c r="T176" s="90"/>
      <c r="U176" s="90"/>
      <c r="V176" s="91"/>
      <c r="W176" s="25"/>
    </row>
    <row r="177" spans="1:23" x14ac:dyDescent="0.25">
      <c r="A177" s="42"/>
      <c r="B177" s="42"/>
      <c r="C177" s="42"/>
      <c r="D177" s="84"/>
      <c r="E177" s="75"/>
      <c r="F177" s="76"/>
      <c r="G177" s="79"/>
      <c r="H177" s="74"/>
      <c r="I177" s="74"/>
      <c r="J177" s="105"/>
      <c r="K177" s="126"/>
      <c r="L177" s="117"/>
      <c r="M177" s="115"/>
      <c r="N177" s="67"/>
      <c r="O177" s="130"/>
      <c r="P177" s="6"/>
      <c r="Q177" s="16"/>
      <c r="R177" s="93"/>
      <c r="S177" s="13"/>
      <c r="T177" s="90"/>
      <c r="U177" s="90"/>
      <c r="V177" s="91"/>
      <c r="W177" s="25"/>
    </row>
    <row r="178" spans="1:23" x14ac:dyDescent="0.25">
      <c r="A178" s="42"/>
      <c r="B178" s="42"/>
      <c r="C178" s="42"/>
      <c r="D178" s="84"/>
      <c r="E178" s="75"/>
      <c r="F178" s="76"/>
      <c r="G178" s="78"/>
      <c r="H178" s="77"/>
      <c r="I178" s="77"/>
      <c r="J178" s="109"/>
      <c r="K178" s="126"/>
      <c r="L178" s="116"/>
      <c r="M178" s="110"/>
      <c r="N178" s="65"/>
      <c r="O178" s="173"/>
      <c r="P178" s="6"/>
      <c r="Q178" s="16"/>
      <c r="R178" s="9"/>
      <c r="S178" s="13"/>
      <c r="T178" s="90"/>
      <c r="U178" s="90"/>
      <c r="V178" s="91"/>
      <c r="W178" s="25"/>
    </row>
    <row r="179" spans="1:23" x14ac:dyDescent="0.25">
      <c r="A179" s="42"/>
      <c r="B179" s="42"/>
      <c r="C179" s="42"/>
      <c r="D179" s="84"/>
      <c r="E179" s="79"/>
      <c r="F179" s="74"/>
      <c r="G179" s="79"/>
      <c r="H179" s="74"/>
      <c r="I179" s="74"/>
      <c r="J179" s="105"/>
      <c r="K179" s="126"/>
      <c r="L179" s="117"/>
      <c r="M179" s="115"/>
      <c r="N179" s="67"/>
      <c r="O179" s="173"/>
      <c r="P179" s="6"/>
      <c r="Q179" s="16"/>
      <c r="R179" s="9"/>
      <c r="S179" s="97"/>
      <c r="T179" s="90"/>
      <c r="U179" s="90"/>
      <c r="V179" s="91"/>
      <c r="W179" s="25"/>
    </row>
    <row r="180" spans="1:23" x14ac:dyDescent="0.25">
      <c r="A180" s="42"/>
      <c r="B180" s="42"/>
      <c r="C180" s="42"/>
      <c r="D180" s="84"/>
      <c r="E180" s="75"/>
      <c r="F180" s="76"/>
      <c r="G180" s="78"/>
      <c r="H180" s="77"/>
      <c r="I180" s="77"/>
      <c r="J180" s="109"/>
      <c r="K180" s="126"/>
      <c r="L180" s="116"/>
      <c r="M180" s="114"/>
      <c r="N180" s="66"/>
      <c r="O180" s="127"/>
      <c r="P180" s="6"/>
      <c r="Q180" s="16"/>
      <c r="R180" s="9"/>
      <c r="S180" s="97"/>
      <c r="T180" s="90"/>
      <c r="U180" s="90"/>
      <c r="V180" s="91"/>
      <c r="W180" s="25"/>
    </row>
    <row r="181" spans="1:23" x14ac:dyDescent="0.25">
      <c r="A181" s="42"/>
      <c r="B181" s="42"/>
      <c r="C181" s="42"/>
      <c r="D181" s="84"/>
      <c r="E181" s="75"/>
      <c r="F181" s="76"/>
      <c r="G181" s="75"/>
      <c r="H181" s="76"/>
      <c r="I181" s="77"/>
      <c r="J181" s="109"/>
      <c r="K181" s="126"/>
      <c r="L181" s="116"/>
      <c r="M181" s="114"/>
      <c r="N181" s="66"/>
      <c r="O181" s="127"/>
      <c r="P181" s="6"/>
      <c r="Q181" s="16"/>
      <c r="R181" s="93"/>
      <c r="S181" s="13"/>
      <c r="T181" s="90"/>
      <c r="U181" s="90"/>
      <c r="V181" s="91"/>
      <c r="W181" s="25"/>
    </row>
    <row r="182" spans="1:23" x14ac:dyDescent="0.25">
      <c r="A182" s="42"/>
      <c r="B182" s="42"/>
      <c r="C182" s="42"/>
      <c r="D182" s="84"/>
      <c r="E182" s="75"/>
      <c r="F182" s="76"/>
      <c r="G182" s="78"/>
      <c r="H182" s="77"/>
      <c r="I182" s="77"/>
      <c r="J182" s="109"/>
      <c r="K182" s="126"/>
      <c r="L182" s="116"/>
      <c r="M182" s="114"/>
      <c r="N182" s="66"/>
      <c r="O182" s="127"/>
      <c r="P182" s="6"/>
      <c r="Q182" s="146"/>
      <c r="R182" s="93"/>
      <c r="S182" s="13"/>
      <c r="T182" s="90"/>
      <c r="U182" s="90"/>
      <c r="V182" s="91"/>
      <c r="W182" s="25"/>
    </row>
    <row r="183" spans="1:23" x14ac:dyDescent="0.25">
      <c r="A183" s="42"/>
      <c r="B183" s="42"/>
      <c r="C183" s="42"/>
      <c r="D183" s="84"/>
      <c r="E183" s="75"/>
      <c r="F183" s="76"/>
      <c r="G183" s="78"/>
      <c r="H183" s="77"/>
      <c r="I183" s="77"/>
      <c r="J183" s="109"/>
      <c r="K183" s="126"/>
      <c r="L183" s="116"/>
      <c r="M183" s="114"/>
      <c r="N183" s="66"/>
      <c r="O183" s="127"/>
      <c r="P183" s="6"/>
      <c r="Q183" s="16"/>
      <c r="R183" s="9"/>
      <c r="S183" s="13"/>
      <c r="T183" s="90"/>
      <c r="U183" s="90"/>
      <c r="V183" s="91"/>
      <c r="W183" s="25"/>
    </row>
    <row r="184" spans="1:23" x14ac:dyDescent="0.25">
      <c r="A184" s="42"/>
      <c r="B184" s="42"/>
      <c r="C184" s="42"/>
      <c r="D184" s="84"/>
      <c r="E184" s="75"/>
      <c r="F184" s="76"/>
      <c r="G184" s="78"/>
      <c r="H184" s="77"/>
      <c r="I184" s="77"/>
      <c r="J184" s="109"/>
      <c r="K184" s="126"/>
      <c r="L184" s="116"/>
      <c r="M184" s="110"/>
      <c r="N184" s="65"/>
      <c r="O184" s="173"/>
      <c r="P184" s="6"/>
      <c r="Q184" s="16"/>
      <c r="R184" s="8"/>
      <c r="S184" s="13"/>
      <c r="T184" s="90"/>
      <c r="U184" s="90"/>
      <c r="V184" s="91"/>
      <c r="W184" s="25"/>
    </row>
    <row r="185" spans="1:23" x14ac:dyDescent="0.25">
      <c r="A185" s="42"/>
      <c r="B185" s="42"/>
      <c r="C185" s="42"/>
      <c r="D185" s="84"/>
      <c r="E185" s="79"/>
      <c r="F185" s="74"/>
      <c r="G185" s="79"/>
      <c r="H185" s="74"/>
      <c r="I185" s="74"/>
      <c r="J185" s="105"/>
      <c r="K185" s="126"/>
      <c r="L185" s="117"/>
      <c r="M185" s="115"/>
      <c r="N185" s="67"/>
      <c r="O185" s="130"/>
      <c r="P185" s="6"/>
      <c r="Q185" s="16"/>
      <c r="R185" s="93"/>
      <c r="S185" s="97"/>
      <c r="T185" s="90"/>
      <c r="U185" s="90"/>
      <c r="V185" s="91"/>
      <c r="W185" s="25"/>
    </row>
    <row r="186" spans="1:23" x14ac:dyDescent="0.25">
      <c r="A186" s="42"/>
      <c r="B186" s="42"/>
      <c r="C186" s="42"/>
      <c r="D186" s="84"/>
      <c r="E186" s="75"/>
      <c r="F186" s="76"/>
      <c r="G186" s="78"/>
      <c r="H186" s="77"/>
      <c r="I186" s="77"/>
      <c r="J186" s="109"/>
      <c r="K186" s="126"/>
      <c r="L186" s="116"/>
      <c r="M186" s="110"/>
      <c r="N186" s="65"/>
      <c r="O186" s="173"/>
      <c r="P186" s="6"/>
      <c r="Q186" s="16"/>
      <c r="R186" s="8"/>
      <c r="S186" s="13"/>
      <c r="T186" s="90"/>
      <c r="U186" s="90"/>
      <c r="V186" s="91"/>
      <c r="W186" s="25"/>
    </row>
    <row r="187" spans="1:23" x14ac:dyDescent="0.25">
      <c r="A187" s="42"/>
      <c r="B187" s="42"/>
      <c r="C187" s="42"/>
      <c r="D187" s="84"/>
      <c r="E187" s="79"/>
      <c r="F187" s="74"/>
      <c r="G187" s="78"/>
      <c r="H187" s="77"/>
      <c r="I187" s="77"/>
      <c r="J187" s="109"/>
      <c r="K187" s="126"/>
      <c r="L187" s="116"/>
      <c r="M187" s="110"/>
      <c r="N187" s="65"/>
      <c r="O187" s="173"/>
      <c r="P187" s="6"/>
      <c r="Q187" s="16"/>
      <c r="R187" s="93"/>
      <c r="S187" s="97"/>
      <c r="T187" s="90"/>
      <c r="U187" s="90"/>
      <c r="V187" s="91"/>
      <c r="W187" s="25"/>
    </row>
    <row r="188" spans="1:23" x14ac:dyDescent="0.25">
      <c r="A188" s="42"/>
      <c r="B188" s="42"/>
      <c r="C188" s="42"/>
      <c r="D188" s="84"/>
      <c r="E188" s="79"/>
      <c r="F188" s="74"/>
      <c r="G188" s="78"/>
      <c r="H188" s="77"/>
      <c r="I188" s="77"/>
      <c r="J188" s="109"/>
      <c r="K188" s="126"/>
      <c r="L188" s="116"/>
      <c r="M188" s="115"/>
      <c r="N188" s="67"/>
      <c r="O188" s="130"/>
      <c r="P188" s="6"/>
      <c r="Q188" s="146"/>
      <c r="R188" s="9"/>
      <c r="S188" s="97"/>
      <c r="T188" s="90"/>
      <c r="U188" s="90"/>
      <c r="V188" s="91"/>
      <c r="W188" s="25"/>
    </row>
    <row r="189" spans="1:23" x14ac:dyDescent="0.25">
      <c r="A189" s="42"/>
      <c r="B189" s="42"/>
      <c r="C189" s="42"/>
      <c r="D189" s="84"/>
      <c r="E189" s="75"/>
      <c r="F189" s="76"/>
      <c r="G189" s="78"/>
      <c r="H189" s="77"/>
      <c r="I189" s="77"/>
      <c r="J189" s="109"/>
      <c r="K189" s="126"/>
      <c r="L189" s="116"/>
      <c r="M189" s="110"/>
      <c r="N189" s="65"/>
      <c r="O189" s="173"/>
      <c r="P189" s="6"/>
      <c r="Q189" s="16"/>
      <c r="R189" s="9"/>
      <c r="S189" s="97"/>
      <c r="T189" s="90"/>
      <c r="U189" s="90"/>
      <c r="V189" s="91"/>
      <c r="W189" s="25"/>
    </row>
    <row r="190" spans="1:23" x14ac:dyDescent="0.25">
      <c r="A190" s="42"/>
      <c r="B190" s="42"/>
      <c r="C190" s="42"/>
      <c r="D190" s="84"/>
      <c r="E190" s="79"/>
      <c r="F190" s="74"/>
      <c r="G190" s="79"/>
      <c r="H190" s="74"/>
      <c r="I190" s="74"/>
      <c r="J190" s="105"/>
      <c r="K190" s="126"/>
      <c r="L190" s="117"/>
      <c r="M190" s="115"/>
      <c r="N190" s="67"/>
      <c r="O190" s="130"/>
      <c r="P190" s="6"/>
      <c r="Q190" s="16"/>
      <c r="R190" s="8"/>
      <c r="S190" s="97"/>
      <c r="T190" s="90"/>
      <c r="U190" s="90"/>
      <c r="V190" s="91"/>
      <c r="W190" s="25"/>
    </row>
    <row r="191" spans="1:23" x14ac:dyDescent="0.25">
      <c r="A191" s="42"/>
      <c r="B191" s="42"/>
      <c r="C191" s="42"/>
      <c r="D191" s="84"/>
      <c r="E191" s="75"/>
      <c r="F191" s="76"/>
      <c r="G191" s="78"/>
      <c r="H191" s="77"/>
      <c r="I191" s="77"/>
      <c r="J191" s="109"/>
      <c r="K191" s="126"/>
      <c r="L191" s="116"/>
      <c r="M191" s="115"/>
      <c r="N191" s="67"/>
      <c r="O191" s="130"/>
      <c r="P191" s="6"/>
      <c r="Q191" s="146"/>
      <c r="R191" s="93"/>
      <c r="S191" s="97"/>
      <c r="T191" s="90"/>
      <c r="U191" s="90"/>
      <c r="V191" s="91"/>
      <c r="W191" s="25"/>
    </row>
    <row r="192" spans="1:23" x14ac:dyDescent="0.25">
      <c r="A192" s="42"/>
      <c r="B192" s="42"/>
      <c r="C192" s="42"/>
      <c r="D192" s="84"/>
      <c r="E192" s="75"/>
      <c r="F192" s="76"/>
      <c r="G192" s="75"/>
      <c r="H192" s="76"/>
      <c r="I192" s="75"/>
      <c r="J192" s="111"/>
      <c r="K192" s="126"/>
      <c r="L192" s="118"/>
      <c r="M192" s="115"/>
      <c r="N192" s="67"/>
      <c r="O192" s="130"/>
      <c r="P192" s="6"/>
      <c r="Q192" s="146"/>
      <c r="R192" s="9"/>
      <c r="S192" s="97"/>
      <c r="T192" s="90"/>
      <c r="U192" s="90"/>
      <c r="V192" s="91"/>
      <c r="W192" s="25"/>
    </row>
    <row r="193" spans="1:23" x14ac:dyDescent="0.25">
      <c r="A193" s="42"/>
      <c r="B193" s="42"/>
      <c r="C193" s="42"/>
      <c r="D193" s="84"/>
      <c r="E193" s="75"/>
      <c r="F193" s="76"/>
      <c r="G193" s="78"/>
      <c r="H193" s="77"/>
      <c r="I193" s="77"/>
      <c r="J193" s="109"/>
      <c r="K193" s="126"/>
      <c r="L193" s="116"/>
      <c r="M193" s="115"/>
      <c r="N193" s="67"/>
      <c r="O193" s="130"/>
      <c r="P193" s="6"/>
      <c r="Q193" s="146"/>
      <c r="R193" s="93"/>
      <c r="S193" s="97"/>
      <c r="T193" s="90"/>
      <c r="U193" s="90"/>
      <c r="V193" s="91"/>
      <c r="W193" s="25"/>
    </row>
    <row r="194" spans="1:23" x14ac:dyDescent="0.25">
      <c r="A194" s="42"/>
      <c r="B194" s="42"/>
      <c r="C194" s="42"/>
      <c r="D194" s="84"/>
      <c r="E194" s="75"/>
      <c r="F194" s="76"/>
      <c r="G194" s="78"/>
      <c r="H194" s="77"/>
      <c r="I194" s="77"/>
      <c r="J194" s="109"/>
      <c r="K194" s="126"/>
      <c r="L194" s="116"/>
      <c r="M194" s="115"/>
      <c r="N194" s="67"/>
      <c r="O194" s="130"/>
      <c r="P194" s="6"/>
      <c r="Q194" s="146"/>
      <c r="R194" s="93"/>
      <c r="S194" s="97"/>
      <c r="T194" s="90"/>
      <c r="U194" s="90"/>
      <c r="V194" s="91"/>
      <c r="W194" s="25"/>
    </row>
    <row r="195" spans="1:23" x14ac:dyDescent="0.25">
      <c r="A195" s="42"/>
      <c r="B195" s="42"/>
      <c r="C195" s="42"/>
      <c r="D195" s="84"/>
      <c r="E195" s="75"/>
      <c r="F195" s="76"/>
      <c r="G195" s="78"/>
      <c r="H195" s="77"/>
      <c r="I195" s="77"/>
      <c r="J195" s="109"/>
      <c r="K195" s="126"/>
      <c r="L195" s="116"/>
      <c r="M195" s="110"/>
      <c r="N195" s="65"/>
      <c r="O195" s="173"/>
      <c r="P195" s="6"/>
      <c r="Q195" s="16"/>
      <c r="R195" s="93"/>
      <c r="S195" s="97"/>
      <c r="T195" s="90"/>
      <c r="U195" s="90"/>
      <c r="V195" s="91"/>
      <c r="W195" s="25"/>
    </row>
    <row r="196" spans="1:23" x14ac:dyDescent="0.25">
      <c r="A196" s="42"/>
      <c r="B196" s="42"/>
      <c r="C196" s="42"/>
      <c r="D196" s="84"/>
      <c r="E196" s="79"/>
      <c r="F196" s="74"/>
      <c r="G196" s="78"/>
      <c r="H196" s="77"/>
      <c r="I196" s="77"/>
      <c r="J196" s="109"/>
      <c r="K196" s="126"/>
      <c r="L196" s="116"/>
      <c r="M196" s="115"/>
      <c r="N196" s="67"/>
      <c r="O196" s="130"/>
      <c r="P196" s="6"/>
      <c r="Q196" s="16"/>
      <c r="R196" s="8"/>
      <c r="S196" s="97"/>
      <c r="T196" s="90"/>
      <c r="U196" s="90"/>
      <c r="V196" s="91"/>
      <c r="W196" s="25"/>
    </row>
    <row r="197" spans="1:23" x14ac:dyDescent="0.25">
      <c r="A197" s="42"/>
      <c r="B197" s="42"/>
      <c r="C197" s="42"/>
      <c r="D197" s="84"/>
      <c r="E197" s="75"/>
      <c r="F197" s="76"/>
      <c r="G197" s="78"/>
      <c r="H197" s="77"/>
      <c r="I197" s="77"/>
      <c r="J197" s="109"/>
      <c r="K197" s="126"/>
      <c r="L197" s="116"/>
      <c r="M197" s="115"/>
      <c r="N197" s="67"/>
      <c r="O197" s="130"/>
      <c r="P197" s="6"/>
      <c r="Q197" s="16"/>
      <c r="R197" s="8"/>
      <c r="S197" s="97"/>
      <c r="T197" s="90"/>
      <c r="U197" s="90"/>
      <c r="V197" s="91"/>
      <c r="W197" s="25"/>
    </row>
    <row r="198" spans="1:23" x14ac:dyDescent="0.25">
      <c r="A198" s="42"/>
      <c r="B198" s="42"/>
      <c r="C198" s="42"/>
      <c r="D198" s="84"/>
      <c r="E198" s="75"/>
      <c r="F198" s="76"/>
      <c r="G198" s="75"/>
      <c r="H198" s="76"/>
      <c r="I198" s="75"/>
      <c r="J198" s="111"/>
      <c r="K198" s="126"/>
      <c r="L198" s="118"/>
      <c r="M198" s="115"/>
      <c r="N198" s="67"/>
      <c r="O198" s="130"/>
      <c r="P198" s="6"/>
      <c r="Q198" s="16"/>
      <c r="R198" s="8"/>
      <c r="S198" s="97"/>
      <c r="T198" s="90"/>
      <c r="U198" s="90"/>
      <c r="V198" s="91"/>
      <c r="W198" s="25"/>
    </row>
    <row r="199" spans="1:23" x14ac:dyDescent="0.25">
      <c r="A199" s="42"/>
      <c r="B199" s="42"/>
      <c r="C199" s="42"/>
      <c r="D199" s="84"/>
      <c r="E199" s="75"/>
      <c r="F199" s="76"/>
      <c r="G199" s="78"/>
      <c r="H199" s="77"/>
      <c r="I199" s="77"/>
      <c r="J199" s="109"/>
      <c r="K199" s="126"/>
      <c r="L199" s="116"/>
      <c r="M199" s="110"/>
      <c r="N199" s="65"/>
      <c r="O199" s="173"/>
      <c r="P199" s="6"/>
      <c r="Q199" s="16"/>
      <c r="R199" s="93"/>
      <c r="S199" s="97"/>
      <c r="T199" s="90"/>
      <c r="U199" s="90"/>
      <c r="V199" s="91"/>
      <c r="W199" s="25"/>
    </row>
    <row r="200" spans="1:23" x14ac:dyDescent="0.25">
      <c r="A200" s="42"/>
      <c r="B200" s="42"/>
      <c r="C200" s="42"/>
      <c r="D200" s="84"/>
      <c r="E200" s="79"/>
      <c r="F200" s="74"/>
      <c r="G200" s="78"/>
      <c r="H200" s="77"/>
      <c r="I200" s="77"/>
      <c r="J200" s="109"/>
      <c r="K200" s="126"/>
      <c r="L200" s="116"/>
      <c r="M200" s="110"/>
      <c r="N200" s="65"/>
      <c r="O200" s="173"/>
      <c r="P200" s="6"/>
      <c r="Q200" s="16"/>
      <c r="R200" s="93"/>
      <c r="S200" s="97"/>
      <c r="T200" s="90"/>
      <c r="U200" s="90"/>
      <c r="V200" s="91"/>
      <c r="W200" s="25"/>
    </row>
    <row r="201" spans="1:23" x14ac:dyDescent="0.25">
      <c r="A201" s="42"/>
      <c r="B201" s="42"/>
      <c r="C201" s="42"/>
      <c r="D201" s="84"/>
      <c r="E201" s="79"/>
      <c r="F201" s="74"/>
      <c r="G201" s="78"/>
      <c r="H201" s="77"/>
      <c r="I201" s="77"/>
      <c r="J201" s="109"/>
      <c r="K201" s="126"/>
      <c r="L201" s="116"/>
      <c r="M201" s="110"/>
      <c r="N201" s="65"/>
      <c r="O201" s="173"/>
      <c r="P201" s="6"/>
      <c r="Q201" s="16"/>
      <c r="R201" s="8"/>
      <c r="S201" s="13"/>
      <c r="T201" s="90"/>
      <c r="U201" s="90"/>
      <c r="V201" s="91"/>
      <c r="W201" s="25"/>
    </row>
    <row r="202" spans="1:23" x14ac:dyDescent="0.25">
      <c r="A202" s="42"/>
      <c r="B202" s="42"/>
      <c r="C202" s="42"/>
      <c r="D202" s="84"/>
      <c r="E202" s="79"/>
      <c r="F202" s="74"/>
      <c r="G202" s="78"/>
      <c r="H202" s="77"/>
      <c r="I202" s="77"/>
      <c r="J202" s="109"/>
      <c r="K202" s="126"/>
      <c r="L202" s="116"/>
      <c r="M202" s="115"/>
      <c r="N202" s="67"/>
      <c r="O202" s="130"/>
      <c r="P202" s="6"/>
      <c r="Q202" s="16"/>
      <c r="R202" s="8"/>
      <c r="S202" s="97"/>
      <c r="T202" s="90"/>
      <c r="U202" s="90"/>
      <c r="V202" s="91"/>
      <c r="W202" s="25"/>
    </row>
    <row r="203" spans="1:23" x14ac:dyDescent="0.25">
      <c r="A203" s="42"/>
      <c r="B203" s="42"/>
      <c r="C203" s="42"/>
      <c r="D203" s="84"/>
      <c r="E203" s="75"/>
      <c r="F203" s="76"/>
      <c r="G203" s="78"/>
      <c r="H203" s="77"/>
      <c r="I203" s="77"/>
      <c r="J203" s="109"/>
      <c r="K203" s="126"/>
      <c r="L203" s="116"/>
      <c r="M203" s="110"/>
      <c r="N203" s="65"/>
      <c r="O203" s="173"/>
      <c r="P203" s="6"/>
      <c r="Q203" s="16"/>
      <c r="R203" s="93"/>
      <c r="S203" s="97"/>
      <c r="T203" s="90"/>
      <c r="U203" s="90"/>
      <c r="V203" s="91"/>
      <c r="W203" s="25"/>
    </row>
    <row r="204" spans="1:23" x14ac:dyDescent="0.25">
      <c r="A204" s="42"/>
      <c r="B204" s="42"/>
      <c r="C204" s="42"/>
      <c r="D204" s="84"/>
      <c r="E204" s="79"/>
      <c r="F204" s="74"/>
      <c r="G204" s="78"/>
      <c r="H204" s="77"/>
      <c r="I204" s="77"/>
      <c r="J204" s="109"/>
      <c r="K204" s="126"/>
      <c r="L204" s="116"/>
      <c r="M204" s="115"/>
      <c r="N204" s="67"/>
      <c r="O204" s="130"/>
      <c r="P204" s="6"/>
      <c r="Q204" s="16"/>
      <c r="R204" s="93"/>
      <c r="S204" s="97"/>
      <c r="T204" s="90"/>
      <c r="U204" s="90"/>
      <c r="V204" s="91"/>
      <c r="W204" s="25"/>
    </row>
    <row r="205" spans="1:23" x14ac:dyDescent="0.25">
      <c r="A205" s="42"/>
      <c r="B205" s="42"/>
      <c r="C205" s="42"/>
      <c r="D205" s="84"/>
      <c r="E205" s="75"/>
      <c r="F205" s="76"/>
      <c r="G205" s="78"/>
      <c r="H205" s="77"/>
      <c r="I205" s="77"/>
      <c r="J205" s="109"/>
      <c r="K205" s="126"/>
      <c r="L205" s="116"/>
      <c r="M205" s="110"/>
      <c r="N205" s="65"/>
      <c r="O205" s="173"/>
      <c r="P205" s="6"/>
      <c r="Q205" s="16"/>
      <c r="R205" s="93"/>
      <c r="S205" s="97"/>
      <c r="T205" s="90"/>
      <c r="U205" s="90"/>
      <c r="V205" s="91"/>
      <c r="W205" s="25"/>
    </row>
    <row r="206" spans="1:23" x14ac:dyDescent="0.25">
      <c r="A206" s="42"/>
      <c r="B206" s="42"/>
      <c r="C206" s="42"/>
      <c r="D206" s="84"/>
      <c r="E206" s="79"/>
      <c r="F206" s="74"/>
      <c r="G206" s="78"/>
      <c r="H206" s="77"/>
      <c r="I206" s="77"/>
      <c r="J206" s="109"/>
      <c r="K206" s="126"/>
      <c r="L206" s="116"/>
      <c r="M206" s="114"/>
      <c r="N206" s="66"/>
      <c r="O206" s="127"/>
      <c r="P206" s="6"/>
      <c r="Q206" s="16"/>
      <c r="R206" s="9"/>
      <c r="S206" s="97"/>
      <c r="T206" s="90"/>
      <c r="U206" s="90"/>
      <c r="V206" s="91"/>
      <c r="W206" s="25"/>
    </row>
    <row r="207" spans="1:23" x14ac:dyDescent="0.25">
      <c r="A207" s="42"/>
      <c r="B207" s="42"/>
      <c r="C207" s="42"/>
      <c r="D207" s="84"/>
      <c r="E207" s="75"/>
      <c r="F207" s="76"/>
      <c r="G207" s="78"/>
      <c r="H207" s="77"/>
      <c r="I207" s="77"/>
      <c r="J207" s="109"/>
      <c r="K207" s="126"/>
      <c r="L207" s="116"/>
      <c r="M207" s="114"/>
      <c r="N207" s="66"/>
      <c r="O207" s="127"/>
      <c r="P207" s="6"/>
      <c r="Q207" s="146"/>
      <c r="R207" s="8"/>
      <c r="S207" s="97"/>
      <c r="T207" s="90"/>
      <c r="U207" s="90"/>
      <c r="V207" s="91"/>
      <c r="W207" s="25"/>
    </row>
    <row r="208" spans="1:23" x14ac:dyDescent="0.25">
      <c r="A208" s="42"/>
      <c r="B208" s="42"/>
      <c r="C208" s="42"/>
      <c r="D208" s="84"/>
      <c r="E208" s="75"/>
      <c r="F208" s="76"/>
      <c r="G208" s="78"/>
      <c r="H208" s="77"/>
      <c r="I208" s="77"/>
      <c r="J208" s="109"/>
      <c r="K208" s="126"/>
      <c r="L208" s="116"/>
      <c r="M208" s="114"/>
      <c r="N208" s="66"/>
      <c r="O208" s="127"/>
      <c r="P208" s="6"/>
      <c r="Q208" s="146"/>
      <c r="R208" s="8"/>
      <c r="S208" s="97"/>
      <c r="T208" s="90"/>
      <c r="U208" s="90"/>
      <c r="V208" s="91"/>
      <c r="W208" s="25"/>
    </row>
    <row r="209" spans="1:23" x14ac:dyDescent="0.25">
      <c r="A209" s="42"/>
      <c r="B209" s="42"/>
      <c r="C209" s="42"/>
      <c r="D209" s="84"/>
      <c r="E209" s="75"/>
      <c r="F209" s="76"/>
      <c r="G209" s="78"/>
      <c r="H209" s="77"/>
      <c r="I209" s="77"/>
      <c r="J209" s="109"/>
      <c r="K209" s="126"/>
      <c r="L209" s="116"/>
      <c r="M209" s="110"/>
      <c r="N209" s="65"/>
      <c r="O209" s="173"/>
      <c r="P209" s="6"/>
      <c r="Q209" s="16"/>
      <c r="R209" s="93"/>
      <c r="S209" s="97"/>
      <c r="T209" s="90"/>
      <c r="U209" s="90"/>
      <c r="V209" s="91"/>
      <c r="W209" s="25"/>
    </row>
    <row r="210" spans="1:23" x14ac:dyDescent="0.25">
      <c r="A210" s="42"/>
      <c r="B210" s="42"/>
      <c r="C210" s="42"/>
      <c r="D210" s="84"/>
      <c r="G210" s="78"/>
      <c r="H210" s="77"/>
      <c r="I210" s="77"/>
      <c r="J210" s="109"/>
      <c r="K210" s="126"/>
      <c r="L210" s="116"/>
      <c r="M210" s="115"/>
      <c r="N210" s="67"/>
      <c r="O210" s="130"/>
      <c r="P210" s="6"/>
      <c r="Q210" s="146"/>
      <c r="R210" s="93"/>
      <c r="S210" s="97"/>
      <c r="T210" s="90"/>
      <c r="U210" s="90"/>
      <c r="V210" s="91"/>
      <c r="W210" s="25"/>
    </row>
    <row r="211" spans="1:23" x14ac:dyDescent="0.25">
      <c r="A211" s="42"/>
      <c r="B211" s="42"/>
      <c r="C211" s="42"/>
      <c r="D211" s="84"/>
      <c r="E211" s="75"/>
      <c r="F211" s="76"/>
      <c r="G211" s="78"/>
      <c r="H211" s="77"/>
      <c r="I211" s="77"/>
      <c r="J211" s="109"/>
      <c r="K211" s="126"/>
      <c r="L211" s="116"/>
      <c r="M211" s="115"/>
      <c r="N211" s="67"/>
      <c r="O211" s="130"/>
      <c r="P211" s="6"/>
      <c r="Q211" s="146"/>
      <c r="R211" s="8"/>
      <c r="S211" s="97"/>
      <c r="T211" s="90"/>
      <c r="U211" s="90"/>
      <c r="V211" s="91"/>
      <c r="W211" s="25"/>
    </row>
    <row r="212" spans="1:23" x14ac:dyDescent="0.25">
      <c r="A212" s="42"/>
      <c r="B212" s="42"/>
      <c r="C212" s="42"/>
      <c r="D212" s="84"/>
      <c r="E212" s="75"/>
      <c r="F212" s="76"/>
      <c r="G212" s="79"/>
      <c r="H212" s="74"/>
      <c r="I212" s="74"/>
      <c r="J212" s="105"/>
      <c r="K212" s="126"/>
      <c r="L212" s="117"/>
      <c r="M212" s="115"/>
      <c r="N212" s="67"/>
      <c r="O212" s="130"/>
      <c r="P212" s="6"/>
      <c r="Q212" s="16"/>
      <c r="R212" s="9"/>
      <c r="S212" s="97"/>
      <c r="T212" s="90"/>
      <c r="U212" s="90"/>
      <c r="V212" s="91"/>
      <c r="W212" s="25"/>
    </row>
    <row r="213" spans="1:23" x14ac:dyDescent="0.25">
      <c r="A213" s="42"/>
      <c r="B213" s="42"/>
      <c r="C213" s="42"/>
      <c r="D213" s="84"/>
      <c r="E213" s="75"/>
      <c r="F213" s="76"/>
      <c r="G213" s="78"/>
      <c r="H213" s="77"/>
      <c r="I213" s="77"/>
      <c r="J213" s="109"/>
      <c r="K213" s="126"/>
      <c r="L213" s="116"/>
      <c r="M213" s="110"/>
      <c r="N213" s="65"/>
      <c r="O213" s="173"/>
      <c r="P213" s="6"/>
      <c r="Q213" s="16"/>
      <c r="R213" s="93"/>
      <c r="S213" s="97"/>
      <c r="T213" s="90"/>
      <c r="U213" s="90"/>
      <c r="V213" s="91"/>
      <c r="W213" s="25"/>
    </row>
    <row r="214" spans="1:23" x14ac:dyDescent="0.25">
      <c r="A214" s="42"/>
      <c r="B214" s="42"/>
      <c r="C214" s="42"/>
      <c r="D214" s="84"/>
      <c r="E214" s="79"/>
      <c r="F214" s="74"/>
      <c r="G214" s="78"/>
      <c r="H214" s="77"/>
      <c r="I214" s="77"/>
      <c r="J214" s="109"/>
      <c r="K214" s="126"/>
      <c r="L214" s="116"/>
      <c r="M214" s="110"/>
      <c r="N214" s="65"/>
      <c r="O214" s="173"/>
      <c r="P214" s="6"/>
      <c r="Q214" s="16"/>
      <c r="R214" s="8"/>
      <c r="S214" s="97"/>
      <c r="T214" s="90"/>
      <c r="U214" s="90"/>
      <c r="V214" s="91"/>
      <c r="W214" s="25"/>
    </row>
    <row r="215" spans="1:23" x14ac:dyDescent="0.25">
      <c r="A215" s="42"/>
      <c r="B215" s="42"/>
      <c r="C215" s="42"/>
      <c r="D215" s="84"/>
      <c r="E215" s="75"/>
      <c r="F215" s="76"/>
      <c r="G215" s="78"/>
      <c r="H215" s="77"/>
      <c r="I215" s="77"/>
      <c r="J215" s="109"/>
      <c r="K215" s="126"/>
      <c r="L215" s="116"/>
      <c r="M215" s="110"/>
      <c r="N215" s="65"/>
      <c r="O215" s="173"/>
      <c r="P215" s="6"/>
      <c r="Q215" s="146"/>
      <c r="R215" s="9"/>
      <c r="S215" s="97"/>
      <c r="T215" s="90"/>
      <c r="U215" s="90"/>
      <c r="V215" s="91"/>
      <c r="W215" s="25"/>
    </row>
    <row r="216" spans="1:23" x14ac:dyDescent="0.25">
      <c r="A216" s="42"/>
      <c r="B216" s="42"/>
      <c r="C216" s="42"/>
      <c r="D216" s="84"/>
      <c r="E216" s="75"/>
      <c r="F216" s="76"/>
      <c r="G216" s="78"/>
      <c r="H216" s="77"/>
      <c r="I216" s="77"/>
      <c r="J216" s="109"/>
      <c r="K216" s="126"/>
      <c r="L216" s="116"/>
      <c r="M216" s="115"/>
      <c r="N216" s="67"/>
      <c r="O216" s="130"/>
      <c r="P216" s="6"/>
      <c r="Q216" s="16"/>
      <c r="R216" s="9"/>
      <c r="S216" s="13"/>
      <c r="T216" s="90"/>
      <c r="U216" s="90"/>
      <c r="V216" s="91"/>
      <c r="W216" s="25"/>
    </row>
    <row r="217" spans="1:23" x14ac:dyDescent="0.25">
      <c r="A217" s="42"/>
      <c r="B217" s="42"/>
      <c r="C217" s="42"/>
      <c r="D217" s="84"/>
      <c r="E217" s="75"/>
      <c r="F217" s="76"/>
      <c r="G217" s="78"/>
      <c r="H217" s="77"/>
      <c r="I217" s="77"/>
      <c r="J217" s="109"/>
      <c r="K217" s="126"/>
      <c r="L217" s="116"/>
      <c r="M217" s="115"/>
      <c r="N217" s="67"/>
      <c r="O217" s="130"/>
      <c r="P217" s="6"/>
      <c r="Q217" s="16"/>
      <c r="R217" s="9"/>
      <c r="S217" s="97"/>
      <c r="T217" s="90"/>
      <c r="U217" s="90"/>
      <c r="V217" s="91"/>
      <c r="W217" s="25"/>
    </row>
    <row r="218" spans="1:23" x14ac:dyDescent="0.25">
      <c r="A218" s="42"/>
      <c r="B218" s="42"/>
      <c r="C218" s="42"/>
      <c r="D218" s="84"/>
      <c r="E218" s="75"/>
      <c r="F218" s="76"/>
      <c r="G218" s="78"/>
      <c r="H218" s="77"/>
      <c r="I218" s="77"/>
      <c r="J218" s="109"/>
      <c r="K218" s="126"/>
      <c r="L218" s="116"/>
      <c r="M218" s="110"/>
      <c r="N218" s="65"/>
      <c r="O218" s="173"/>
      <c r="P218" s="6"/>
      <c r="Q218" s="16"/>
      <c r="R218" s="8"/>
      <c r="S218" s="97"/>
      <c r="T218" s="90"/>
      <c r="U218" s="90"/>
      <c r="V218" s="91"/>
      <c r="W218" s="25"/>
    </row>
    <row r="219" spans="1:23" x14ac:dyDescent="0.25">
      <c r="A219" s="42"/>
      <c r="B219" s="42"/>
      <c r="C219" s="42"/>
      <c r="D219" s="84"/>
      <c r="E219" s="79"/>
      <c r="F219" s="74"/>
      <c r="G219" s="78"/>
      <c r="H219" s="77"/>
      <c r="I219" s="77"/>
      <c r="J219" s="109"/>
      <c r="K219" s="126"/>
      <c r="L219" s="116"/>
      <c r="M219" s="110"/>
      <c r="N219" s="65"/>
      <c r="O219" s="173"/>
      <c r="P219" s="6"/>
      <c r="Q219" s="16"/>
      <c r="R219" s="9"/>
      <c r="S219" s="97"/>
      <c r="T219" s="90"/>
      <c r="U219" s="90"/>
      <c r="V219" s="91"/>
      <c r="W219" s="25"/>
    </row>
    <row r="220" spans="1:23" x14ac:dyDescent="0.25">
      <c r="A220" s="42"/>
      <c r="B220" s="42"/>
      <c r="C220" s="42"/>
      <c r="D220" s="84"/>
      <c r="E220" s="79"/>
      <c r="F220" s="74"/>
      <c r="G220" s="78"/>
      <c r="H220" s="77"/>
      <c r="I220" s="77"/>
      <c r="J220" s="109"/>
      <c r="K220" s="126"/>
      <c r="L220" s="116"/>
      <c r="M220" s="110"/>
      <c r="N220" s="65"/>
      <c r="O220" s="173"/>
      <c r="P220" s="6"/>
      <c r="Q220" s="16"/>
      <c r="R220" s="93"/>
      <c r="S220" s="97"/>
      <c r="T220" s="90"/>
      <c r="U220" s="90"/>
      <c r="V220" s="91"/>
      <c r="W220" s="25"/>
    </row>
    <row r="221" spans="1:23" x14ac:dyDescent="0.25">
      <c r="A221" s="42"/>
      <c r="B221" s="42"/>
      <c r="C221" s="42"/>
      <c r="D221" s="84"/>
      <c r="E221" s="79"/>
      <c r="F221" s="74"/>
      <c r="G221" s="78"/>
      <c r="H221" s="77"/>
      <c r="I221" s="77"/>
      <c r="J221" s="109"/>
      <c r="K221" s="126"/>
      <c r="L221" s="116"/>
      <c r="M221" s="115"/>
      <c r="N221" s="67"/>
      <c r="O221" s="130"/>
      <c r="P221" s="6"/>
      <c r="Q221" s="16"/>
      <c r="R221" s="8"/>
      <c r="S221" s="13"/>
      <c r="T221" s="90"/>
      <c r="U221" s="90"/>
      <c r="V221" s="91"/>
      <c r="W221" s="25"/>
    </row>
    <row r="222" spans="1:23" x14ac:dyDescent="0.25">
      <c r="A222" s="42"/>
      <c r="B222" s="42"/>
      <c r="C222" s="42"/>
      <c r="D222" s="84"/>
      <c r="E222" s="75"/>
      <c r="F222" s="76"/>
      <c r="G222" s="78"/>
      <c r="H222" s="77"/>
      <c r="I222" s="77"/>
      <c r="J222" s="109"/>
      <c r="K222" s="126"/>
      <c r="L222" s="116"/>
      <c r="M222" s="110"/>
      <c r="N222" s="65"/>
      <c r="O222" s="173"/>
      <c r="P222" s="6"/>
      <c r="Q222" s="16"/>
      <c r="R222" s="8"/>
      <c r="S222" s="97"/>
      <c r="T222" s="90"/>
      <c r="U222" s="90"/>
      <c r="V222" s="91"/>
      <c r="W222" s="25"/>
    </row>
    <row r="223" spans="1:23" x14ac:dyDescent="0.25">
      <c r="A223" s="42"/>
      <c r="B223" s="42"/>
      <c r="C223" s="42"/>
      <c r="D223" s="84"/>
      <c r="E223" s="75"/>
      <c r="F223" s="76"/>
      <c r="G223" s="78"/>
      <c r="H223" s="77"/>
      <c r="I223" s="77"/>
      <c r="J223" s="109"/>
      <c r="K223" s="126"/>
      <c r="L223" s="116"/>
      <c r="M223" s="115"/>
      <c r="N223" s="67"/>
      <c r="O223" s="130"/>
      <c r="P223" s="6"/>
      <c r="Q223" s="146"/>
      <c r="R223" s="8"/>
      <c r="S223" s="13"/>
      <c r="T223" s="90"/>
      <c r="U223" s="90"/>
      <c r="V223" s="91"/>
      <c r="W223" s="25"/>
    </row>
    <row r="224" spans="1:23" x14ac:dyDescent="0.25">
      <c r="A224" s="42"/>
      <c r="B224" s="42"/>
      <c r="C224" s="42"/>
      <c r="D224" s="84"/>
      <c r="E224" s="75"/>
      <c r="F224" s="76"/>
      <c r="G224" s="78"/>
      <c r="H224" s="77"/>
      <c r="I224" s="77"/>
      <c r="J224" s="109"/>
      <c r="K224" s="126"/>
      <c r="L224" s="116"/>
      <c r="M224" s="115"/>
      <c r="N224" s="67"/>
      <c r="O224" s="130"/>
      <c r="P224" s="6"/>
      <c r="Q224" s="146"/>
      <c r="R224" s="9"/>
      <c r="S224" s="97"/>
      <c r="T224" s="90"/>
      <c r="U224" s="90"/>
      <c r="V224" s="91"/>
      <c r="W224" s="25"/>
    </row>
    <row r="225" spans="1:23" x14ac:dyDescent="0.25">
      <c r="A225" s="42"/>
      <c r="B225" s="42"/>
      <c r="C225" s="42"/>
      <c r="D225" s="84"/>
      <c r="E225" s="75"/>
      <c r="F225" s="76"/>
      <c r="G225" s="75"/>
      <c r="H225" s="76"/>
      <c r="I225" s="77"/>
      <c r="J225" s="109"/>
      <c r="K225" s="126"/>
      <c r="L225" s="116"/>
      <c r="M225" s="115"/>
      <c r="N225" s="67"/>
      <c r="O225" s="130"/>
      <c r="P225" s="6"/>
      <c r="Q225" s="16"/>
      <c r="R225" s="9"/>
      <c r="S225" s="97"/>
      <c r="T225" s="90"/>
      <c r="U225" s="90"/>
      <c r="V225" s="91"/>
      <c r="W225" s="25"/>
    </row>
    <row r="226" spans="1:23" x14ac:dyDescent="0.25">
      <c r="A226" s="42"/>
      <c r="B226" s="42"/>
      <c r="C226" s="42"/>
      <c r="D226" s="84"/>
      <c r="E226" s="75"/>
      <c r="F226" s="76"/>
      <c r="G226" s="78"/>
      <c r="H226" s="77"/>
      <c r="I226" s="77"/>
      <c r="J226" s="109"/>
      <c r="K226" s="126"/>
      <c r="L226" s="116"/>
      <c r="M226" s="115"/>
      <c r="N226" s="67"/>
      <c r="O226" s="130"/>
      <c r="P226" s="6"/>
      <c r="Q226" s="146"/>
      <c r="R226" s="9"/>
      <c r="S226" s="97"/>
      <c r="T226" s="90"/>
      <c r="U226" s="90"/>
      <c r="V226" s="91"/>
      <c r="W226" s="25"/>
    </row>
    <row r="227" spans="1:23" x14ac:dyDescent="0.25">
      <c r="A227" s="42"/>
      <c r="B227" s="42"/>
      <c r="C227" s="42"/>
      <c r="D227" s="84"/>
      <c r="E227" s="75"/>
      <c r="F227" s="76"/>
      <c r="G227" s="78"/>
      <c r="H227" s="77"/>
      <c r="I227" s="77"/>
      <c r="J227" s="109"/>
      <c r="K227" s="126"/>
      <c r="L227" s="116"/>
      <c r="M227" s="115"/>
      <c r="N227" s="67"/>
      <c r="O227" s="130"/>
      <c r="P227" s="6"/>
      <c r="Q227" s="16"/>
      <c r="R227" s="9"/>
      <c r="S227" s="13"/>
      <c r="T227" s="90"/>
      <c r="U227" s="90"/>
      <c r="V227" s="91"/>
      <c r="W227" s="25"/>
    </row>
    <row r="228" spans="1:23" x14ac:dyDescent="0.25">
      <c r="A228" s="42"/>
      <c r="B228" s="42"/>
      <c r="C228" s="42"/>
      <c r="D228" s="84"/>
      <c r="E228" s="75"/>
      <c r="F228" s="76"/>
      <c r="G228" s="78"/>
      <c r="H228" s="77"/>
      <c r="I228" s="77"/>
      <c r="J228" s="109"/>
      <c r="K228" s="126"/>
      <c r="L228" s="116"/>
      <c r="M228" s="110"/>
      <c r="N228" s="65"/>
      <c r="O228" s="173"/>
      <c r="P228" s="6"/>
      <c r="Q228" s="16"/>
      <c r="R228" s="8"/>
      <c r="S228" s="97"/>
      <c r="T228" s="90"/>
      <c r="U228" s="90"/>
      <c r="V228" s="91"/>
      <c r="W228" s="25"/>
    </row>
    <row r="229" spans="1:23" x14ac:dyDescent="0.25">
      <c r="A229" s="42"/>
      <c r="B229" s="42"/>
      <c r="C229" s="42"/>
      <c r="D229" s="84"/>
      <c r="E229" s="79"/>
      <c r="F229" s="74"/>
      <c r="G229" s="78"/>
      <c r="H229" s="77"/>
      <c r="I229" s="77"/>
      <c r="J229" s="109"/>
      <c r="K229" s="126"/>
      <c r="L229" s="116"/>
      <c r="M229" s="110"/>
      <c r="N229" s="65"/>
      <c r="O229" s="173"/>
      <c r="P229" s="6"/>
      <c r="Q229" s="16"/>
      <c r="R229" s="8"/>
      <c r="S229" s="97"/>
      <c r="T229" s="90"/>
      <c r="U229" s="90"/>
      <c r="V229" s="91"/>
      <c r="W229" s="25"/>
    </row>
    <row r="230" spans="1:23" x14ac:dyDescent="0.25">
      <c r="A230" s="42"/>
      <c r="B230" s="42"/>
      <c r="C230" s="42"/>
      <c r="D230" s="84"/>
      <c r="E230" s="79"/>
      <c r="F230" s="74"/>
      <c r="G230" s="78"/>
      <c r="H230" s="77"/>
      <c r="I230" s="77"/>
      <c r="J230" s="109"/>
      <c r="K230" s="126"/>
      <c r="L230" s="116"/>
      <c r="M230" s="110"/>
      <c r="N230" s="65"/>
      <c r="O230" s="173"/>
      <c r="P230" s="6"/>
      <c r="Q230" s="16"/>
      <c r="R230" s="93"/>
      <c r="S230" s="13"/>
      <c r="T230" s="90"/>
      <c r="U230" s="90"/>
      <c r="V230" s="91"/>
      <c r="W230" s="25"/>
    </row>
    <row r="231" spans="1:23" x14ac:dyDescent="0.25">
      <c r="A231" s="42"/>
      <c r="B231" s="42"/>
      <c r="C231" s="42"/>
      <c r="D231" s="84"/>
      <c r="E231" s="75"/>
      <c r="F231" s="76"/>
      <c r="G231" s="78"/>
      <c r="H231" s="77"/>
      <c r="I231" s="77"/>
      <c r="J231" s="109"/>
      <c r="K231" s="126"/>
      <c r="L231" s="116"/>
      <c r="M231" s="110"/>
      <c r="N231" s="65"/>
      <c r="O231" s="173"/>
      <c r="P231" s="6"/>
      <c r="Q231" s="16"/>
      <c r="R231" s="9"/>
      <c r="S231" s="13"/>
      <c r="T231" s="90"/>
      <c r="U231" s="90"/>
      <c r="V231" s="91"/>
      <c r="W231" s="25"/>
    </row>
    <row r="232" spans="1:23" x14ac:dyDescent="0.25">
      <c r="A232" s="42"/>
      <c r="B232" s="42"/>
      <c r="C232" s="42"/>
      <c r="D232" s="84"/>
      <c r="G232" s="78"/>
      <c r="H232" s="77"/>
      <c r="I232" s="77"/>
      <c r="J232" s="109"/>
      <c r="K232" s="126"/>
      <c r="L232" s="116"/>
      <c r="M232" s="115"/>
      <c r="N232" s="67"/>
      <c r="O232" s="130"/>
      <c r="P232" s="6"/>
      <c r="Q232" s="16"/>
      <c r="R232" s="93"/>
      <c r="S232" s="97"/>
      <c r="T232" s="90"/>
      <c r="U232" s="90"/>
      <c r="V232" s="91"/>
      <c r="W232" s="25"/>
    </row>
    <row r="233" spans="1:23" x14ac:dyDescent="0.25">
      <c r="A233" s="42"/>
      <c r="B233" s="42"/>
      <c r="C233" s="42"/>
      <c r="D233" s="84"/>
      <c r="E233" s="75"/>
      <c r="F233" s="76"/>
      <c r="G233" s="78"/>
      <c r="H233" s="77"/>
      <c r="I233" s="77"/>
      <c r="J233" s="109"/>
      <c r="K233" s="126"/>
      <c r="L233" s="116"/>
      <c r="M233" s="110"/>
      <c r="N233" s="65"/>
      <c r="O233" s="173"/>
      <c r="P233" s="6"/>
      <c r="Q233" s="16"/>
      <c r="R233" s="93"/>
      <c r="S233" s="97"/>
      <c r="T233" s="90"/>
      <c r="U233" s="90"/>
      <c r="V233" s="91"/>
      <c r="W233" s="25"/>
    </row>
    <row r="234" spans="1:23" x14ac:dyDescent="0.25">
      <c r="A234" s="42"/>
      <c r="B234" s="42"/>
      <c r="C234" s="42"/>
      <c r="D234" s="84"/>
      <c r="E234" s="79"/>
      <c r="F234" s="74"/>
      <c r="G234" s="78"/>
      <c r="H234" s="77"/>
      <c r="I234" s="77"/>
      <c r="J234" s="109"/>
      <c r="K234" s="126"/>
      <c r="L234" s="116"/>
      <c r="M234" s="110"/>
      <c r="N234" s="65"/>
      <c r="O234" s="173"/>
      <c r="P234" s="6"/>
      <c r="Q234" s="16"/>
      <c r="R234" s="93"/>
      <c r="S234" s="13"/>
      <c r="T234" s="90"/>
      <c r="U234" s="90"/>
      <c r="V234" s="91"/>
      <c r="W234" s="25"/>
    </row>
    <row r="235" spans="1:23" x14ac:dyDescent="0.25">
      <c r="A235" s="42"/>
      <c r="B235" s="42"/>
      <c r="C235" s="42"/>
      <c r="D235" s="84"/>
      <c r="E235" s="79"/>
      <c r="F235" s="74"/>
      <c r="G235" s="78"/>
      <c r="H235" s="77"/>
      <c r="I235" s="77"/>
      <c r="J235" s="109"/>
      <c r="K235" s="126"/>
      <c r="L235" s="116"/>
      <c r="M235" s="115"/>
      <c r="N235" s="67"/>
      <c r="O235" s="130"/>
      <c r="P235" s="6"/>
      <c r="Q235" s="16"/>
      <c r="R235" s="93"/>
      <c r="S235" s="13"/>
      <c r="T235" s="90"/>
      <c r="U235" s="90"/>
      <c r="V235" s="91"/>
      <c r="W235" s="25"/>
    </row>
    <row r="236" spans="1:23" x14ac:dyDescent="0.25">
      <c r="A236" s="42"/>
      <c r="B236" s="42"/>
      <c r="C236" s="42"/>
      <c r="D236" s="84"/>
      <c r="E236" s="75"/>
      <c r="F236" s="76"/>
      <c r="G236" s="78"/>
      <c r="H236" s="77"/>
      <c r="I236" s="77"/>
      <c r="J236" s="109"/>
      <c r="K236" s="126"/>
      <c r="L236" s="116"/>
      <c r="M236" s="110"/>
      <c r="N236" s="65"/>
      <c r="O236" s="173"/>
      <c r="P236" s="6"/>
      <c r="Q236" s="146"/>
      <c r="R236" s="93"/>
      <c r="S236" s="97"/>
      <c r="T236" s="90"/>
      <c r="U236" s="90"/>
      <c r="V236" s="91"/>
      <c r="W236" s="25"/>
    </row>
    <row r="237" spans="1:23" x14ac:dyDescent="0.25">
      <c r="A237" s="42"/>
      <c r="B237" s="42"/>
      <c r="C237" s="42"/>
      <c r="D237" s="84"/>
      <c r="E237" s="79"/>
      <c r="F237" s="74"/>
      <c r="G237" s="78"/>
      <c r="H237" s="77"/>
      <c r="I237" s="77"/>
      <c r="J237" s="109"/>
      <c r="K237" s="126"/>
      <c r="L237" s="116"/>
      <c r="M237" s="110"/>
      <c r="N237" s="65"/>
      <c r="O237" s="173"/>
      <c r="P237" s="6"/>
      <c r="Q237" s="146"/>
      <c r="R237" s="93"/>
      <c r="S237" s="97"/>
      <c r="T237" s="90"/>
      <c r="U237" s="90"/>
      <c r="V237" s="91"/>
      <c r="W237" s="25"/>
    </row>
    <row r="238" spans="1:23" x14ac:dyDescent="0.25">
      <c r="A238" s="42"/>
      <c r="B238" s="42"/>
      <c r="C238" s="42"/>
      <c r="D238" s="84"/>
      <c r="E238" s="79"/>
      <c r="F238" s="74"/>
      <c r="G238" s="78"/>
      <c r="H238" s="77"/>
      <c r="I238" s="77"/>
      <c r="J238" s="109"/>
      <c r="K238" s="126"/>
      <c r="L238" s="116"/>
      <c r="M238" s="110"/>
      <c r="N238" s="65"/>
      <c r="O238" s="173"/>
      <c r="P238" s="6"/>
      <c r="Q238" s="16"/>
      <c r="R238" s="8"/>
      <c r="S238" s="13"/>
      <c r="T238" s="90"/>
      <c r="U238" s="90"/>
      <c r="V238" s="91"/>
      <c r="W238" s="25"/>
    </row>
    <row r="239" spans="1:23" x14ac:dyDescent="0.25">
      <c r="A239" s="42"/>
      <c r="B239" s="42"/>
      <c r="C239" s="42"/>
      <c r="D239" s="84"/>
      <c r="E239" s="79"/>
      <c r="F239" s="74"/>
      <c r="G239" s="78"/>
      <c r="H239" s="77"/>
      <c r="I239" s="77"/>
      <c r="J239" s="109"/>
      <c r="K239" s="126"/>
      <c r="L239" s="116"/>
      <c r="M239" s="110"/>
      <c r="N239" s="65"/>
      <c r="O239" s="173"/>
      <c r="P239" s="6"/>
      <c r="Q239" s="16"/>
      <c r="R239" s="9"/>
      <c r="S239" s="13"/>
      <c r="T239" s="90"/>
      <c r="U239" s="90"/>
      <c r="V239" s="91"/>
      <c r="W239" s="25"/>
    </row>
    <row r="240" spans="1:23" x14ac:dyDescent="0.25">
      <c r="A240" s="42"/>
      <c r="B240" s="42"/>
      <c r="C240" s="42"/>
      <c r="D240" s="84"/>
      <c r="E240" s="79"/>
      <c r="F240" s="74"/>
      <c r="G240" s="78"/>
      <c r="H240" s="77"/>
      <c r="I240" s="77"/>
      <c r="J240" s="109"/>
      <c r="K240" s="126"/>
      <c r="L240" s="116"/>
      <c r="M240" s="110"/>
      <c r="N240" s="65"/>
      <c r="O240" s="173"/>
      <c r="P240" s="6"/>
      <c r="Q240" s="16"/>
      <c r="R240" s="8"/>
      <c r="S240" s="13"/>
      <c r="T240" s="90"/>
      <c r="U240" s="90"/>
      <c r="V240" s="91"/>
      <c r="W240" s="25"/>
    </row>
    <row r="241" spans="1:23" x14ac:dyDescent="0.25">
      <c r="A241" s="42"/>
      <c r="B241" s="42"/>
      <c r="C241" s="42"/>
      <c r="D241" s="84"/>
      <c r="E241" s="79"/>
      <c r="F241" s="74"/>
      <c r="G241" s="78"/>
      <c r="H241" s="77"/>
      <c r="I241" s="77"/>
      <c r="J241" s="109"/>
      <c r="K241" s="126"/>
      <c r="L241" s="116"/>
      <c r="M241" s="110"/>
      <c r="N241" s="65"/>
      <c r="O241" s="173"/>
      <c r="P241" s="6"/>
      <c r="Q241" s="16"/>
      <c r="R241" s="8"/>
      <c r="S241" s="13"/>
      <c r="T241" s="90"/>
      <c r="U241" s="90"/>
      <c r="V241" s="91"/>
      <c r="W241" s="25"/>
    </row>
    <row r="242" spans="1:23" x14ac:dyDescent="0.25">
      <c r="A242" s="42"/>
      <c r="B242" s="42"/>
      <c r="C242" s="42"/>
      <c r="D242" s="84"/>
      <c r="E242" s="79"/>
      <c r="F242" s="74"/>
      <c r="G242" s="79"/>
      <c r="H242" s="74"/>
      <c r="I242" s="74"/>
      <c r="J242" s="105"/>
      <c r="K242" s="126"/>
      <c r="L242" s="117"/>
      <c r="M242" s="114"/>
      <c r="N242" s="66"/>
      <c r="O242" s="127"/>
      <c r="P242" s="6"/>
      <c r="Q242" s="16"/>
      <c r="R242" s="8"/>
      <c r="S242" s="13"/>
      <c r="T242" s="90"/>
      <c r="U242" s="90"/>
      <c r="V242" s="91"/>
      <c r="W242" s="25"/>
    </row>
    <row r="243" spans="1:23" x14ac:dyDescent="0.25">
      <c r="A243" s="42"/>
      <c r="B243" s="42"/>
      <c r="C243" s="42"/>
      <c r="D243" s="84"/>
      <c r="E243" s="75"/>
      <c r="F243" s="76"/>
      <c r="G243" s="78"/>
      <c r="H243" s="77"/>
      <c r="I243" s="77"/>
      <c r="J243" s="109"/>
      <c r="K243" s="126"/>
      <c r="L243" s="116"/>
      <c r="M243" s="114"/>
      <c r="N243" s="66"/>
      <c r="O243" s="127"/>
      <c r="P243" s="6"/>
      <c r="Q243" s="16"/>
      <c r="R243" s="93"/>
      <c r="S243" s="97"/>
      <c r="T243" s="90"/>
      <c r="U243" s="90"/>
      <c r="V243" s="91"/>
      <c r="W243" s="25"/>
    </row>
    <row r="244" spans="1:23" x14ac:dyDescent="0.25">
      <c r="A244" s="42"/>
      <c r="B244" s="42"/>
      <c r="C244" s="42"/>
      <c r="D244" s="84"/>
      <c r="E244" s="75"/>
      <c r="F244" s="76"/>
      <c r="G244" s="78"/>
      <c r="H244" s="77"/>
      <c r="I244" s="77"/>
      <c r="J244" s="109"/>
      <c r="K244" s="126"/>
      <c r="L244" s="116"/>
      <c r="M244" s="114"/>
      <c r="N244" s="66"/>
      <c r="O244" s="127"/>
      <c r="P244" s="6"/>
      <c r="Q244" s="16"/>
      <c r="R244" s="9"/>
      <c r="S244" s="13"/>
      <c r="T244" s="90"/>
      <c r="U244" s="90"/>
      <c r="V244" s="91"/>
      <c r="W244" s="25"/>
    </row>
    <row r="245" spans="1:23" x14ac:dyDescent="0.25">
      <c r="A245" s="42"/>
      <c r="B245" s="42"/>
      <c r="C245" s="42"/>
      <c r="D245" s="84"/>
      <c r="E245" s="79"/>
      <c r="F245" s="74"/>
      <c r="G245" s="78"/>
      <c r="H245" s="77"/>
      <c r="I245" s="77"/>
      <c r="J245" s="109"/>
      <c r="K245" s="126"/>
      <c r="L245" s="116"/>
      <c r="M245" s="114"/>
      <c r="N245" s="66"/>
      <c r="O245" s="127"/>
      <c r="P245" s="6"/>
      <c r="Q245" s="16"/>
      <c r="R245" s="8"/>
      <c r="S245" s="13"/>
      <c r="T245" s="90"/>
      <c r="U245" s="90"/>
      <c r="V245" s="91"/>
      <c r="W245" s="25"/>
    </row>
    <row r="246" spans="1:23" x14ac:dyDescent="0.25">
      <c r="A246" s="42"/>
      <c r="B246" s="42"/>
      <c r="C246" s="42"/>
      <c r="D246" s="84"/>
      <c r="E246" s="79"/>
      <c r="F246" s="74"/>
      <c r="G246" s="78"/>
      <c r="H246" s="77"/>
      <c r="I246" s="77"/>
      <c r="J246" s="109"/>
      <c r="K246" s="126"/>
      <c r="L246" s="116"/>
      <c r="M246" s="114"/>
      <c r="N246" s="66"/>
      <c r="O246" s="127"/>
      <c r="P246" s="6"/>
      <c r="Q246" s="16"/>
      <c r="R246" s="8"/>
      <c r="S246" s="13"/>
      <c r="T246" s="90"/>
      <c r="U246" s="90"/>
      <c r="V246" s="91"/>
      <c r="W246" s="25"/>
    </row>
    <row r="247" spans="1:23" x14ac:dyDescent="0.25">
      <c r="A247" s="42"/>
      <c r="B247" s="42"/>
      <c r="C247" s="42"/>
      <c r="D247" s="84"/>
      <c r="E247" s="75"/>
      <c r="F247" s="76"/>
      <c r="G247" s="78"/>
      <c r="H247" s="77"/>
      <c r="I247" s="77"/>
      <c r="J247" s="109"/>
      <c r="K247" s="124"/>
      <c r="L247" s="116"/>
      <c r="M247" s="107"/>
      <c r="N247" s="63"/>
      <c r="O247" s="127"/>
      <c r="P247" s="6"/>
      <c r="Q247" s="171"/>
      <c r="R247" s="63"/>
      <c r="S247" s="13"/>
      <c r="T247" s="13"/>
      <c r="U247" s="13"/>
      <c r="V247" s="87"/>
      <c r="W247" s="27"/>
    </row>
    <row r="248" spans="1:23" x14ac:dyDescent="0.25">
      <c r="A248" s="43"/>
      <c r="B248" s="43"/>
      <c r="C248" s="43"/>
      <c r="D248" s="85"/>
      <c r="E248" s="79"/>
      <c r="F248" s="74"/>
      <c r="G248" s="78"/>
      <c r="H248" s="77"/>
      <c r="I248" s="77"/>
      <c r="J248" s="109"/>
      <c r="K248" s="126"/>
      <c r="L248" s="116"/>
      <c r="M248" s="115"/>
      <c r="N248" s="67"/>
      <c r="O248" s="130"/>
      <c r="P248" s="6"/>
      <c r="Q248" s="16"/>
      <c r="R248" s="93"/>
      <c r="S248" s="13"/>
      <c r="T248" s="90"/>
      <c r="U248" s="90"/>
      <c r="V248" s="91"/>
      <c r="W248" s="25"/>
    </row>
    <row r="249" spans="1:23" x14ac:dyDescent="0.25">
      <c r="A249" s="42"/>
      <c r="B249" s="42"/>
      <c r="C249" s="42"/>
      <c r="D249" s="84"/>
      <c r="E249" s="75"/>
      <c r="F249" s="76"/>
      <c r="G249" s="75"/>
      <c r="H249" s="76"/>
      <c r="I249" s="77"/>
      <c r="J249" s="109"/>
      <c r="K249" s="126"/>
      <c r="L249" s="116"/>
      <c r="M249" s="115"/>
      <c r="N249" s="67"/>
      <c r="O249" s="173"/>
      <c r="P249" s="6"/>
      <c r="Q249" s="16"/>
      <c r="R249" s="93"/>
      <c r="S249" s="97"/>
      <c r="T249" s="90"/>
      <c r="U249" s="90"/>
      <c r="V249" s="91"/>
      <c r="W249" s="25"/>
    </row>
    <row r="250" spans="1:23" x14ac:dyDescent="0.25">
      <c r="A250" s="42"/>
      <c r="B250" s="42"/>
      <c r="C250" s="42"/>
      <c r="D250" s="84"/>
      <c r="E250" s="75"/>
      <c r="F250" s="76"/>
      <c r="G250" s="78"/>
      <c r="H250" s="77"/>
      <c r="I250" s="77"/>
      <c r="J250" s="109"/>
      <c r="K250" s="126"/>
      <c r="L250" s="116"/>
      <c r="M250" s="115"/>
      <c r="N250" s="67"/>
      <c r="O250" s="130"/>
      <c r="P250" s="6"/>
      <c r="Q250" s="146"/>
      <c r="R250" s="93"/>
      <c r="S250" s="13"/>
      <c r="T250" s="90"/>
      <c r="U250" s="90"/>
      <c r="V250" s="91"/>
      <c r="W250" s="25"/>
    </row>
    <row r="251" spans="1:23" x14ac:dyDescent="0.25">
      <c r="A251" s="42"/>
      <c r="B251" s="42"/>
      <c r="C251" s="42"/>
      <c r="D251" s="84"/>
      <c r="E251" s="75"/>
      <c r="F251" s="76"/>
      <c r="G251" s="78"/>
      <c r="H251" s="77"/>
      <c r="I251" s="77"/>
      <c r="J251" s="109"/>
      <c r="K251" s="126"/>
      <c r="L251" s="116"/>
      <c r="M251" s="115"/>
      <c r="N251" s="67"/>
      <c r="O251" s="130"/>
      <c r="P251" s="6"/>
      <c r="Q251" s="16"/>
      <c r="R251" s="93"/>
      <c r="S251" s="97"/>
      <c r="T251" s="90"/>
      <c r="U251" s="90"/>
      <c r="V251" s="91"/>
      <c r="W251" s="25"/>
    </row>
    <row r="252" spans="1:23" x14ac:dyDescent="0.25">
      <c r="A252" s="42"/>
      <c r="B252" s="42"/>
      <c r="C252" s="42"/>
      <c r="D252" s="84"/>
      <c r="E252" s="75"/>
      <c r="F252" s="76"/>
      <c r="G252" s="78"/>
      <c r="H252" s="77"/>
      <c r="I252" s="77"/>
      <c r="J252" s="109"/>
      <c r="K252" s="126"/>
      <c r="L252" s="116"/>
      <c r="M252" s="115"/>
      <c r="N252" s="67"/>
      <c r="O252" s="173"/>
      <c r="P252" s="6"/>
      <c r="Q252" s="146"/>
      <c r="R252" s="8"/>
      <c r="S252" s="13"/>
      <c r="T252" s="90"/>
      <c r="U252" s="90"/>
      <c r="V252" s="91"/>
      <c r="W252" s="25"/>
    </row>
    <row r="253" spans="1:23" x14ac:dyDescent="0.25">
      <c r="A253" s="42"/>
      <c r="B253" s="42"/>
      <c r="C253" s="42"/>
      <c r="D253" s="84"/>
      <c r="E253" s="75"/>
      <c r="F253" s="76"/>
      <c r="G253" s="78"/>
      <c r="H253" s="77"/>
      <c r="I253" s="77"/>
      <c r="J253" s="109"/>
      <c r="K253" s="126"/>
      <c r="L253" s="116"/>
      <c r="M253" s="115"/>
      <c r="N253" s="67"/>
      <c r="O253" s="130"/>
      <c r="P253" s="6"/>
      <c r="Q253" s="16"/>
      <c r="R253" s="93"/>
      <c r="S253" s="13"/>
      <c r="T253" s="90"/>
      <c r="U253" s="90"/>
      <c r="V253" s="91"/>
      <c r="W253" s="25"/>
    </row>
    <row r="254" spans="1:23" x14ac:dyDescent="0.25">
      <c r="A254" s="42"/>
      <c r="B254" s="42"/>
      <c r="C254" s="42"/>
      <c r="D254" s="84"/>
      <c r="E254" s="75"/>
      <c r="F254" s="76"/>
      <c r="G254" s="78"/>
      <c r="H254" s="77"/>
      <c r="I254" s="77"/>
      <c r="J254" s="109"/>
      <c r="K254" s="126"/>
      <c r="L254" s="116"/>
      <c r="M254" s="115"/>
      <c r="N254" s="67"/>
      <c r="O254" s="130"/>
      <c r="P254" s="6"/>
      <c r="Q254" s="16"/>
      <c r="R254" s="8"/>
      <c r="S254" s="13"/>
      <c r="T254" s="90"/>
      <c r="U254" s="90"/>
      <c r="V254" s="91"/>
      <c r="W254" s="25"/>
    </row>
    <row r="255" spans="1:23" x14ac:dyDescent="0.25">
      <c r="A255" s="42"/>
      <c r="B255" s="42"/>
      <c r="C255" s="42"/>
      <c r="D255" s="84"/>
      <c r="E255" s="75"/>
      <c r="F255" s="76"/>
      <c r="G255" s="79"/>
      <c r="H255" s="74"/>
      <c r="I255" s="74"/>
      <c r="J255" s="105"/>
      <c r="K255" s="126"/>
      <c r="L255" s="117"/>
      <c r="M255" s="115"/>
      <c r="N255" s="67"/>
      <c r="O255" s="130"/>
      <c r="P255" s="6"/>
      <c r="Q255" s="16"/>
      <c r="R255" s="93"/>
      <c r="S255" s="13"/>
      <c r="T255" s="90"/>
      <c r="U255" s="90"/>
      <c r="V255" s="91"/>
      <c r="W255" s="25"/>
    </row>
    <row r="256" spans="1:23" x14ac:dyDescent="0.25">
      <c r="A256" s="42"/>
      <c r="B256" s="42"/>
      <c r="C256" s="42"/>
      <c r="D256" s="84"/>
      <c r="E256" s="75"/>
      <c r="F256" s="76"/>
      <c r="G256" s="78"/>
      <c r="H256" s="77"/>
      <c r="I256" s="77"/>
      <c r="J256" s="109"/>
      <c r="K256" s="126"/>
      <c r="L256" s="116"/>
      <c r="M256" s="115"/>
      <c r="N256" s="67"/>
      <c r="O256" s="130"/>
      <c r="P256" s="6"/>
      <c r="Q256" s="16"/>
      <c r="R256" s="93"/>
      <c r="S256" s="13"/>
      <c r="T256" s="90"/>
      <c r="U256" s="90"/>
      <c r="V256" s="91"/>
      <c r="W256" s="25"/>
    </row>
    <row r="257" spans="1:23" x14ac:dyDescent="0.25">
      <c r="A257" s="42"/>
      <c r="B257" s="42"/>
      <c r="C257" s="42"/>
      <c r="D257" s="84"/>
      <c r="E257" s="75"/>
      <c r="F257" s="76"/>
      <c r="G257" s="78"/>
      <c r="H257" s="77"/>
      <c r="I257" s="77"/>
      <c r="J257" s="109"/>
      <c r="K257" s="126"/>
      <c r="L257" s="116"/>
      <c r="M257" s="115"/>
      <c r="N257" s="67"/>
      <c r="O257" s="130"/>
      <c r="P257" s="6"/>
      <c r="Q257" s="16"/>
      <c r="R257" s="9"/>
      <c r="S257" s="13"/>
      <c r="T257" s="90"/>
      <c r="U257" s="90"/>
      <c r="V257" s="91"/>
      <c r="W257" s="25"/>
    </row>
    <row r="258" spans="1:23" x14ac:dyDescent="0.25">
      <c r="A258" s="42"/>
      <c r="B258" s="42"/>
      <c r="C258" s="42"/>
      <c r="D258" s="84"/>
      <c r="E258" s="75"/>
      <c r="F258" s="76"/>
      <c r="G258" s="78"/>
      <c r="H258" s="77"/>
      <c r="I258" s="77"/>
      <c r="J258" s="109"/>
      <c r="K258" s="126"/>
      <c r="L258" s="116"/>
      <c r="M258" s="115"/>
      <c r="N258" s="67"/>
      <c r="O258" s="130"/>
      <c r="P258" s="6"/>
      <c r="Q258" s="16"/>
      <c r="R258" s="8"/>
      <c r="S258" s="13"/>
      <c r="T258" s="90"/>
      <c r="U258" s="90"/>
      <c r="V258" s="91"/>
      <c r="W258" s="25"/>
    </row>
    <row r="259" spans="1:23" x14ac:dyDescent="0.25">
      <c r="A259" s="42"/>
      <c r="B259" s="42"/>
      <c r="C259" s="42"/>
      <c r="D259" s="84"/>
      <c r="E259" s="75"/>
      <c r="F259" s="76"/>
      <c r="G259" s="78"/>
      <c r="H259" s="77"/>
      <c r="I259" s="77"/>
      <c r="J259" s="109"/>
      <c r="K259" s="126"/>
      <c r="L259" s="116"/>
      <c r="M259" s="115"/>
      <c r="N259" s="67"/>
      <c r="O259" s="130"/>
      <c r="P259" s="6"/>
      <c r="Q259" s="16"/>
      <c r="R259" s="8"/>
      <c r="S259" s="13"/>
      <c r="T259" s="90"/>
      <c r="U259" s="90"/>
      <c r="V259" s="91"/>
      <c r="W259" s="25"/>
    </row>
    <row r="260" spans="1:23" x14ac:dyDescent="0.25">
      <c r="A260" s="42"/>
      <c r="B260" s="42"/>
      <c r="C260" s="42"/>
      <c r="D260" s="84"/>
      <c r="E260" s="75"/>
      <c r="F260" s="76"/>
      <c r="G260" s="79"/>
      <c r="H260" s="74"/>
      <c r="I260" s="74"/>
      <c r="J260" s="105"/>
      <c r="K260" s="126"/>
      <c r="L260" s="117"/>
      <c r="M260" s="110"/>
      <c r="N260" s="65"/>
      <c r="O260" s="173"/>
      <c r="P260" s="6"/>
      <c r="Q260" s="16"/>
      <c r="R260" s="9"/>
      <c r="S260" s="97"/>
      <c r="T260" s="90"/>
      <c r="U260" s="90"/>
      <c r="V260" s="91"/>
      <c r="W260" s="25"/>
    </row>
    <row r="261" spans="1:23" x14ac:dyDescent="0.25">
      <c r="A261" s="42"/>
      <c r="B261" s="42"/>
      <c r="C261" s="42"/>
      <c r="D261" s="84"/>
      <c r="E261" s="79"/>
      <c r="F261" s="74"/>
      <c r="G261" s="75"/>
      <c r="H261" s="76"/>
      <c r="I261" s="77"/>
      <c r="J261" s="109"/>
      <c r="K261" s="126"/>
      <c r="L261" s="116"/>
      <c r="M261" s="115"/>
      <c r="N261" s="67"/>
      <c r="O261" s="173"/>
      <c r="P261" s="6"/>
      <c r="Q261" s="16"/>
      <c r="R261" s="8"/>
      <c r="S261" s="13"/>
      <c r="T261" s="90"/>
      <c r="U261" s="90"/>
      <c r="V261" s="91"/>
      <c r="W261" s="25"/>
    </row>
    <row r="262" spans="1:23" x14ac:dyDescent="0.25">
      <c r="A262" s="42"/>
      <c r="B262" s="42"/>
      <c r="C262" s="42"/>
      <c r="D262" s="84"/>
      <c r="E262" s="75"/>
      <c r="F262" s="76"/>
      <c r="G262" s="75"/>
      <c r="H262" s="76"/>
      <c r="I262" s="77"/>
      <c r="J262" s="109"/>
      <c r="K262" s="126"/>
      <c r="L262" s="116"/>
      <c r="M262" s="115"/>
      <c r="N262" s="67"/>
      <c r="O262" s="130"/>
      <c r="P262" s="6"/>
      <c r="Q262" s="16"/>
      <c r="R262" s="9"/>
      <c r="S262" s="13"/>
      <c r="T262" s="90"/>
      <c r="U262" s="90"/>
      <c r="V262" s="91"/>
      <c r="W262" s="25"/>
    </row>
    <row r="263" spans="1:23" x14ac:dyDescent="0.25">
      <c r="A263" s="42"/>
      <c r="B263" s="42"/>
      <c r="C263" s="42"/>
      <c r="D263" s="84"/>
      <c r="E263" s="75"/>
      <c r="F263" s="76"/>
      <c r="G263" s="78"/>
      <c r="H263" s="77"/>
      <c r="I263" s="77"/>
      <c r="J263" s="109"/>
      <c r="K263" s="126"/>
      <c r="L263" s="116"/>
      <c r="M263" s="115"/>
      <c r="N263" s="67"/>
      <c r="O263" s="130"/>
      <c r="P263" s="6"/>
      <c r="Q263" s="16"/>
      <c r="R263" s="93"/>
      <c r="S263" s="13"/>
      <c r="T263" s="90"/>
      <c r="U263" s="90"/>
      <c r="V263" s="91"/>
      <c r="W263" s="25"/>
    </row>
    <row r="264" spans="1:23" x14ac:dyDescent="0.25">
      <c r="A264" s="42"/>
      <c r="B264" s="42"/>
      <c r="C264" s="42"/>
      <c r="D264" s="84"/>
      <c r="E264" s="75"/>
      <c r="F264" s="76"/>
      <c r="G264" s="78"/>
      <c r="H264" s="77"/>
      <c r="I264" s="77"/>
      <c r="J264" s="109"/>
      <c r="K264" s="126"/>
      <c r="L264" s="116"/>
      <c r="M264" s="115"/>
      <c r="N264" s="67"/>
      <c r="O264" s="130"/>
      <c r="P264" s="6"/>
      <c r="Q264" s="16"/>
      <c r="R264" s="93"/>
      <c r="S264" s="13"/>
      <c r="T264" s="90"/>
      <c r="U264" s="90"/>
      <c r="V264" s="91"/>
      <c r="W264" s="25"/>
    </row>
    <row r="265" spans="1:23" x14ac:dyDescent="0.25">
      <c r="A265" s="42"/>
      <c r="B265" s="42"/>
      <c r="C265" s="42"/>
      <c r="D265" s="84"/>
      <c r="E265" s="75"/>
      <c r="F265" s="76"/>
      <c r="G265" s="78"/>
      <c r="H265" s="77"/>
      <c r="I265" s="77"/>
      <c r="J265" s="109"/>
      <c r="K265" s="126"/>
      <c r="L265" s="116"/>
      <c r="M265" s="115"/>
      <c r="N265" s="67"/>
      <c r="O265" s="130"/>
      <c r="P265" s="6"/>
      <c r="Q265" s="146"/>
      <c r="R265" s="93"/>
      <c r="S265" s="13"/>
      <c r="T265" s="90"/>
      <c r="U265" s="90"/>
      <c r="V265" s="91"/>
      <c r="W265" s="25"/>
    </row>
    <row r="266" spans="1:23" x14ac:dyDescent="0.25">
      <c r="A266" s="42"/>
      <c r="B266" s="42"/>
      <c r="C266" s="42"/>
      <c r="D266" s="84"/>
      <c r="E266" s="75"/>
      <c r="F266" s="76"/>
      <c r="G266" s="79"/>
      <c r="H266" s="74"/>
      <c r="I266" s="77"/>
      <c r="J266" s="109"/>
      <c r="K266" s="126"/>
      <c r="L266" s="116"/>
      <c r="M266" s="110"/>
      <c r="N266" s="65"/>
      <c r="O266" s="173"/>
      <c r="P266" s="6"/>
      <c r="Q266" s="146"/>
      <c r="R266" s="93"/>
      <c r="S266" s="13"/>
      <c r="T266" s="90"/>
      <c r="U266" s="90"/>
      <c r="V266" s="91"/>
      <c r="W266" s="25"/>
    </row>
    <row r="267" spans="1:23" x14ac:dyDescent="0.25">
      <c r="A267" s="42"/>
      <c r="B267" s="42"/>
      <c r="C267" s="42"/>
      <c r="D267" s="84"/>
      <c r="E267" s="75"/>
      <c r="F267" s="76"/>
      <c r="G267" s="78"/>
      <c r="H267" s="77"/>
      <c r="I267" s="77"/>
      <c r="J267" s="109"/>
      <c r="K267" s="126"/>
      <c r="L267" s="116"/>
      <c r="M267" s="110"/>
      <c r="N267" s="65"/>
      <c r="O267" s="173"/>
      <c r="P267" s="6"/>
      <c r="Q267" s="16"/>
      <c r="R267" s="93"/>
      <c r="S267" s="13"/>
      <c r="T267" s="90"/>
      <c r="U267" s="90"/>
      <c r="V267" s="91"/>
      <c r="W267" s="25"/>
    </row>
    <row r="268" spans="1:23" x14ac:dyDescent="0.25">
      <c r="A268" s="42"/>
      <c r="B268" s="42"/>
      <c r="C268" s="42"/>
      <c r="D268" s="84"/>
      <c r="G268" s="78"/>
      <c r="H268" s="77"/>
      <c r="I268" s="77"/>
      <c r="J268" s="109"/>
      <c r="K268" s="126"/>
      <c r="L268" s="116"/>
      <c r="M268" s="115"/>
      <c r="N268" s="67"/>
      <c r="O268" s="130"/>
      <c r="P268" s="6"/>
      <c r="Q268" s="16"/>
      <c r="R268" s="93"/>
      <c r="S268" s="13"/>
      <c r="T268" s="90"/>
      <c r="U268" s="90"/>
      <c r="V268" s="91"/>
      <c r="W268" s="25"/>
    </row>
    <row r="269" spans="1:23" x14ac:dyDescent="0.25">
      <c r="A269" s="42"/>
      <c r="B269" s="42"/>
      <c r="C269" s="42"/>
      <c r="D269" s="84"/>
      <c r="E269" s="75"/>
      <c r="F269" s="76"/>
      <c r="G269" s="78"/>
      <c r="H269" s="77"/>
      <c r="I269" s="77"/>
      <c r="J269" s="109"/>
      <c r="K269" s="126"/>
      <c r="L269" s="116"/>
      <c r="M269" s="115"/>
      <c r="N269" s="67"/>
      <c r="O269" s="130"/>
      <c r="P269" s="6"/>
      <c r="Q269" s="16"/>
      <c r="R269" s="93"/>
      <c r="S269" s="13"/>
      <c r="T269" s="90"/>
      <c r="U269" s="90"/>
      <c r="V269" s="91"/>
      <c r="W269" s="25"/>
    </row>
    <row r="270" spans="1:23" x14ac:dyDescent="0.25">
      <c r="A270" s="42"/>
      <c r="B270" s="42"/>
      <c r="C270" s="42"/>
      <c r="D270" s="84"/>
      <c r="E270" s="75"/>
      <c r="F270" s="76"/>
      <c r="G270" s="78"/>
      <c r="H270" s="77"/>
      <c r="I270" s="77"/>
      <c r="J270" s="109"/>
      <c r="K270" s="126"/>
      <c r="L270" s="116"/>
      <c r="M270" s="115"/>
      <c r="N270" s="67"/>
      <c r="O270" s="130"/>
      <c r="P270" s="6"/>
      <c r="Q270" s="16"/>
      <c r="R270" s="93"/>
      <c r="S270" s="13"/>
      <c r="T270" s="90"/>
      <c r="U270" s="90"/>
      <c r="V270" s="91"/>
      <c r="W270" s="25"/>
    </row>
    <row r="271" spans="1:23" x14ac:dyDescent="0.25">
      <c r="A271" s="42"/>
      <c r="B271" s="42"/>
      <c r="C271" s="42"/>
      <c r="D271" s="84"/>
      <c r="E271" s="75"/>
      <c r="F271" s="76"/>
      <c r="G271" s="78"/>
      <c r="H271" s="77"/>
      <c r="I271" s="77"/>
      <c r="J271" s="109"/>
      <c r="K271" s="126"/>
      <c r="L271" s="116"/>
      <c r="M271" s="104"/>
      <c r="N271" s="69"/>
      <c r="P271" s="6"/>
      <c r="Q271" s="16"/>
      <c r="R271" s="93"/>
      <c r="S271" s="13"/>
      <c r="T271" s="90"/>
      <c r="U271" s="90"/>
      <c r="V271" s="91"/>
      <c r="W271" s="25"/>
    </row>
    <row r="272" spans="1:23" x14ac:dyDescent="0.25">
      <c r="A272" s="42"/>
      <c r="B272" s="42"/>
      <c r="C272" s="42"/>
      <c r="D272" s="84"/>
      <c r="E272" s="75"/>
      <c r="F272" s="76"/>
      <c r="G272" s="78"/>
      <c r="H272" s="77"/>
      <c r="I272" s="77"/>
      <c r="J272" s="109"/>
      <c r="K272" s="124"/>
      <c r="L272" s="116"/>
      <c r="M272" s="108"/>
      <c r="N272" s="51"/>
      <c r="P272" s="6"/>
      <c r="Q272" s="171"/>
      <c r="R272" s="51"/>
      <c r="S272" s="13"/>
      <c r="T272" s="13"/>
      <c r="U272" s="13"/>
      <c r="V272" s="17"/>
      <c r="W272" s="27"/>
    </row>
    <row r="273" spans="1:23" x14ac:dyDescent="0.25">
      <c r="A273" s="29"/>
      <c r="B273" s="29"/>
      <c r="C273" s="29"/>
      <c r="D273" s="63"/>
      <c r="E273" s="79"/>
      <c r="F273" s="74"/>
      <c r="G273" s="75"/>
      <c r="H273" s="76"/>
      <c r="I273" s="77"/>
      <c r="J273" s="109"/>
      <c r="K273" s="124"/>
      <c r="L273" s="116"/>
      <c r="M273" s="104"/>
      <c r="N273" s="69"/>
      <c r="P273" s="6"/>
      <c r="Q273" s="146"/>
      <c r="R273" s="9"/>
      <c r="S273" s="13"/>
      <c r="T273" s="97"/>
      <c r="U273" s="13"/>
      <c r="V273" s="95"/>
      <c r="W273" s="25"/>
    </row>
    <row r="274" spans="1:23" x14ac:dyDescent="0.25">
      <c r="A274" s="1"/>
      <c r="B274" s="1"/>
      <c r="C274" s="1"/>
      <c r="D274" s="4"/>
      <c r="E274" s="75"/>
      <c r="F274" s="76"/>
      <c r="G274" s="78"/>
      <c r="H274" s="77"/>
      <c r="I274" s="77"/>
      <c r="J274" s="109"/>
      <c r="K274" s="124"/>
      <c r="L274" s="116"/>
      <c r="M274" s="104"/>
      <c r="N274" s="69"/>
      <c r="P274" s="6"/>
      <c r="Q274" s="16"/>
      <c r="R274" s="8"/>
      <c r="S274" s="13"/>
      <c r="T274" s="13"/>
      <c r="U274" s="13"/>
      <c r="V274" s="95"/>
      <c r="W274" s="25"/>
    </row>
    <row r="275" spans="1:23" x14ac:dyDescent="0.25">
      <c r="A275" s="1"/>
      <c r="B275" s="1"/>
      <c r="C275" s="1"/>
      <c r="D275" s="4"/>
      <c r="E275" s="79"/>
      <c r="F275" s="74"/>
      <c r="G275" s="78"/>
      <c r="H275" s="77"/>
      <c r="I275" s="77"/>
      <c r="J275" s="109"/>
      <c r="K275" s="124"/>
      <c r="L275" s="116"/>
      <c r="M275" s="114"/>
      <c r="N275" s="66"/>
      <c r="O275" s="127"/>
      <c r="P275" s="6"/>
      <c r="Q275" s="16"/>
      <c r="R275" s="8"/>
      <c r="S275" s="13"/>
      <c r="T275" s="13"/>
      <c r="U275" s="13"/>
      <c r="V275" s="89"/>
      <c r="W275" s="25"/>
    </row>
    <row r="276" spans="1:23" x14ac:dyDescent="0.25">
      <c r="A276" s="1"/>
      <c r="B276" s="1"/>
      <c r="C276" s="1"/>
      <c r="D276" s="4"/>
      <c r="E276" s="79"/>
      <c r="F276" s="74"/>
      <c r="G276" s="78"/>
      <c r="H276" s="77"/>
      <c r="I276" s="77"/>
      <c r="J276" s="109"/>
      <c r="K276" s="124"/>
      <c r="L276" s="116"/>
      <c r="M276" s="104"/>
      <c r="N276" s="69"/>
      <c r="P276" s="6"/>
      <c r="Q276" s="16"/>
      <c r="R276" s="9"/>
      <c r="S276" s="13"/>
      <c r="T276" s="13"/>
      <c r="U276" s="13"/>
      <c r="V276" s="89"/>
      <c r="W276" s="25"/>
    </row>
    <row r="277" spans="1:23" x14ac:dyDescent="0.25">
      <c r="A277" s="1"/>
      <c r="B277" s="1"/>
      <c r="C277" s="1"/>
      <c r="D277" s="4"/>
      <c r="E277" s="79"/>
      <c r="F277" s="74"/>
    </row>
  </sheetData>
  <mergeCells count="8">
    <mergeCell ref="S87:U87"/>
    <mergeCell ref="A1:D1"/>
    <mergeCell ref="E1:H1"/>
    <mergeCell ref="M1:N1"/>
    <mergeCell ref="P1:Q1"/>
    <mergeCell ref="R1:R2"/>
    <mergeCell ref="S1:U1"/>
    <mergeCell ref="S25:U2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M93"/>
  <sheetViews>
    <sheetView zoomScaleNormal="100" workbookViewId="0">
      <selection activeCell="C86" sqref="C86:D86"/>
    </sheetView>
  </sheetViews>
  <sheetFormatPr defaultColWidth="8.85546875" defaultRowHeight="15" x14ac:dyDescent="0.25"/>
  <cols>
    <col min="1" max="1" width="10.7109375" customWidth="1"/>
    <col min="2" max="2" width="7.42578125" style="19" customWidth="1"/>
    <col min="3" max="3" width="13.140625" customWidth="1"/>
    <col min="4" max="4" width="23.42578125" style="122" customWidth="1"/>
    <col min="5" max="5" width="8.85546875" style="19" customWidth="1"/>
    <col min="7" max="8" width="8.85546875" style="19"/>
    <col min="9" max="9" width="22.28515625" customWidth="1"/>
    <col min="10" max="10" width="9.140625" customWidth="1"/>
  </cols>
  <sheetData>
    <row r="1" spans="1:13" ht="18.75" x14ac:dyDescent="0.3">
      <c r="A1" s="24"/>
      <c r="B1" s="24"/>
      <c r="C1" s="24"/>
      <c r="D1" s="121" t="s">
        <v>239</v>
      </c>
      <c r="E1" s="24"/>
      <c r="I1" s="40"/>
      <c r="J1" s="19"/>
    </row>
    <row r="2" spans="1:13" x14ac:dyDescent="0.25">
      <c r="A2" s="14" t="s">
        <v>147</v>
      </c>
      <c r="B2" s="14"/>
      <c r="C2" s="11"/>
      <c r="D2" s="123"/>
      <c r="E2" s="11"/>
      <c r="F2" s="22"/>
      <c r="G2" s="20" t="s">
        <v>148</v>
      </c>
      <c r="H2" s="20"/>
      <c r="I2" s="38"/>
      <c r="J2" s="39"/>
      <c r="M2" t="s">
        <v>240</v>
      </c>
    </row>
    <row r="3" spans="1:13" x14ac:dyDescent="0.25">
      <c r="A3" s="35" t="s">
        <v>71</v>
      </c>
      <c r="B3" s="35" t="s">
        <v>11</v>
      </c>
      <c r="C3" s="35" t="s">
        <v>72</v>
      </c>
      <c r="D3" s="120" t="s">
        <v>73</v>
      </c>
      <c r="E3" s="36" t="s">
        <v>74</v>
      </c>
      <c r="G3" s="35" t="s">
        <v>71</v>
      </c>
      <c r="H3" s="35" t="s">
        <v>11</v>
      </c>
      <c r="I3" s="41" t="s">
        <v>150</v>
      </c>
      <c r="J3" s="21" t="s">
        <v>74</v>
      </c>
      <c r="M3" t="s">
        <v>241</v>
      </c>
    </row>
    <row r="4" spans="1:13" x14ac:dyDescent="0.25">
      <c r="A4" s="37">
        <v>5709</v>
      </c>
      <c r="B4" s="24" t="s">
        <v>32</v>
      </c>
      <c r="C4" s="204" t="s">
        <v>242</v>
      </c>
      <c r="D4" s="26">
        <v>32112</v>
      </c>
      <c r="E4" s="265">
        <f>7.978793+1.050329</f>
        <v>9.0291219999999992</v>
      </c>
      <c r="F4" s="134"/>
      <c r="G4" s="23">
        <v>5709</v>
      </c>
      <c r="H4" s="24" t="s">
        <v>32</v>
      </c>
      <c r="I4" s="24" t="s">
        <v>243</v>
      </c>
      <c r="J4" s="27">
        <v>1.463217</v>
      </c>
      <c r="K4" s="177"/>
      <c r="M4" t="s">
        <v>244</v>
      </c>
    </row>
    <row r="5" spans="1:13" x14ac:dyDescent="0.25">
      <c r="A5" s="37">
        <v>5709</v>
      </c>
      <c r="B5" s="24" t="s">
        <v>32</v>
      </c>
      <c r="C5" s="203"/>
      <c r="D5" s="26">
        <v>31959</v>
      </c>
      <c r="E5" s="265">
        <f>0.008197+0.097403</f>
        <v>0.1056</v>
      </c>
      <c r="F5" s="134"/>
      <c r="G5" s="159"/>
      <c r="H5" s="159"/>
      <c r="I5" s="159"/>
      <c r="J5" s="136">
        <f>SUM(J4)</f>
        <v>1.463217</v>
      </c>
      <c r="K5" s="177"/>
      <c r="M5" t="s">
        <v>245</v>
      </c>
    </row>
    <row r="6" spans="1:13" x14ac:dyDescent="0.25">
      <c r="A6" s="37">
        <v>5709</v>
      </c>
      <c r="B6" s="24" t="s">
        <v>32</v>
      </c>
      <c r="C6" s="203"/>
      <c r="D6" s="26">
        <v>23924</v>
      </c>
      <c r="E6" s="265">
        <f>0.239964+0.315485</f>
        <v>0.55544900000000008</v>
      </c>
      <c r="F6" s="134"/>
      <c r="G6" s="23">
        <v>5407</v>
      </c>
      <c r="H6" s="24" t="s">
        <v>59</v>
      </c>
      <c r="I6" s="24" t="s">
        <v>246</v>
      </c>
      <c r="J6" s="27">
        <v>14.87828</v>
      </c>
      <c r="K6" s="177"/>
    </row>
    <row r="7" spans="1:13" x14ac:dyDescent="0.25">
      <c r="A7" s="37">
        <v>5709</v>
      </c>
      <c r="B7" s="24" t="s">
        <v>32</v>
      </c>
      <c r="C7" s="203" t="s">
        <v>247</v>
      </c>
      <c r="D7" s="266">
        <v>41955</v>
      </c>
      <c r="E7" s="265">
        <f>1.050329+0.097403+0.315485</f>
        <v>1.463217</v>
      </c>
      <c r="F7" s="134"/>
      <c r="G7" s="23">
        <v>5529</v>
      </c>
      <c r="H7" s="24" t="s">
        <v>59</v>
      </c>
      <c r="I7" s="24" t="s">
        <v>248</v>
      </c>
      <c r="J7" s="25">
        <v>11.37724</v>
      </c>
      <c r="K7" s="177"/>
    </row>
    <row r="8" spans="1:13" x14ac:dyDescent="0.25">
      <c r="A8" s="37"/>
      <c r="B8" s="24"/>
      <c r="C8" s="203"/>
      <c r="D8" s="26"/>
      <c r="E8" s="27">
        <f>SUM(E4:E7)</f>
        <v>11.153388</v>
      </c>
      <c r="F8" s="134"/>
      <c r="G8" s="23">
        <v>5529</v>
      </c>
      <c r="H8" s="24" t="s">
        <v>59</v>
      </c>
      <c r="I8" s="37" t="s">
        <v>249</v>
      </c>
      <c r="J8" s="25">
        <v>0.653667</v>
      </c>
      <c r="K8" s="177"/>
    </row>
    <row r="9" spans="1:13" x14ac:dyDescent="0.25">
      <c r="A9" s="37">
        <v>5710</v>
      </c>
      <c r="B9" s="24" t="s">
        <v>32</v>
      </c>
      <c r="C9" s="267" t="s">
        <v>250</v>
      </c>
      <c r="D9" s="26">
        <v>31564</v>
      </c>
      <c r="E9" s="25">
        <v>2.3000440000000002</v>
      </c>
      <c r="F9" s="134"/>
      <c r="G9" s="23">
        <v>5529</v>
      </c>
      <c r="H9" s="24" t="s">
        <v>59</v>
      </c>
      <c r="I9" s="23" t="s">
        <v>248</v>
      </c>
      <c r="J9" s="25">
        <v>1.9090000000000001E-3</v>
      </c>
      <c r="K9" s="177"/>
    </row>
    <row r="10" spans="1:13" x14ac:dyDescent="0.25">
      <c r="A10" s="37">
        <v>5710</v>
      </c>
      <c r="B10" s="24" t="s">
        <v>32</v>
      </c>
      <c r="C10" s="267" t="s">
        <v>251</v>
      </c>
      <c r="D10" s="24" t="s">
        <v>252</v>
      </c>
      <c r="E10" s="25">
        <v>3.4067980000000002</v>
      </c>
      <c r="F10" s="134"/>
      <c r="G10" s="23">
        <v>5529</v>
      </c>
      <c r="H10" s="24" t="s">
        <v>59</v>
      </c>
      <c r="I10" s="23" t="s">
        <v>249</v>
      </c>
      <c r="J10" s="25">
        <v>1.9090000000000001E-3</v>
      </c>
    </row>
    <row r="11" spans="1:13" x14ac:dyDescent="0.25">
      <c r="A11" s="37"/>
      <c r="B11" s="24"/>
      <c r="C11" s="204"/>
      <c r="D11" s="26"/>
      <c r="E11" s="27">
        <f>SUM(E9:E10)</f>
        <v>5.706842</v>
      </c>
      <c r="F11" s="134"/>
      <c r="G11" s="23"/>
      <c r="H11" s="24"/>
      <c r="I11" s="23"/>
      <c r="J11" s="27">
        <f>SUM(J7:J10)</f>
        <v>12.034725</v>
      </c>
    </row>
    <row r="12" spans="1:13" ht="30" x14ac:dyDescent="0.25">
      <c r="A12" s="37">
        <v>5713</v>
      </c>
      <c r="B12" s="24" t="s">
        <v>32</v>
      </c>
      <c r="C12" s="204" t="s">
        <v>253</v>
      </c>
      <c r="D12" s="26">
        <v>31444</v>
      </c>
      <c r="E12" s="27">
        <v>4.4819000000000004</v>
      </c>
      <c r="F12" s="134"/>
      <c r="G12" s="23">
        <v>5531</v>
      </c>
      <c r="H12" s="24" t="s">
        <v>59</v>
      </c>
      <c r="I12" s="23" t="s">
        <v>249</v>
      </c>
      <c r="J12" s="27">
        <v>1.2525740000000001</v>
      </c>
      <c r="K12" s="177"/>
    </row>
    <row r="13" spans="1:13" x14ac:dyDescent="0.25">
      <c r="A13" s="37">
        <v>5714</v>
      </c>
      <c r="B13" s="24" t="s">
        <v>32</v>
      </c>
      <c r="C13" s="204" t="s">
        <v>254</v>
      </c>
      <c r="D13" s="26">
        <v>32905</v>
      </c>
      <c r="E13" s="27">
        <v>2.1332990000000001</v>
      </c>
      <c r="F13" s="134"/>
      <c r="G13" s="23">
        <v>5532</v>
      </c>
      <c r="H13" s="24" t="s">
        <v>59</v>
      </c>
      <c r="I13" s="23" t="s">
        <v>255</v>
      </c>
      <c r="J13" s="27">
        <v>9.958024</v>
      </c>
      <c r="K13" s="177"/>
    </row>
    <row r="14" spans="1:13" ht="30" x14ac:dyDescent="0.25">
      <c r="A14" s="37">
        <v>5715</v>
      </c>
      <c r="B14" s="24" t="s">
        <v>32</v>
      </c>
      <c r="C14" s="204" t="s">
        <v>256</v>
      </c>
      <c r="D14" s="26">
        <v>34669</v>
      </c>
      <c r="E14" s="27">
        <v>11.14188</v>
      </c>
      <c r="F14" s="134"/>
      <c r="G14" s="23">
        <v>5534</v>
      </c>
      <c r="H14" s="24" t="s">
        <v>59</v>
      </c>
      <c r="I14" s="23" t="s">
        <v>246</v>
      </c>
      <c r="J14" s="27">
        <v>31.18299</v>
      </c>
      <c r="K14" s="177"/>
    </row>
    <row r="15" spans="1:13" x14ac:dyDescent="0.25">
      <c r="A15" s="37">
        <v>5799</v>
      </c>
      <c r="B15" s="24" t="s">
        <v>32</v>
      </c>
      <c r="C15" s="204" t="s">
        <v>257</v>
      </c>
      <c r="D15" s="26">
        <v>34335</v>
      </c>
      <c r="E15" s="27">
        <v>0.21804699999999999</v>
      </c>
      <c r="F15" s="134"/>
      <c r="G15" s="23">
        <v>5555</v>
      </c>
      <c r="H15" s="24" t="s">
        <v>59</v>
      </c>
      <c r="I15" s="37" t="s">
        <v>258</v>
      </c>
      <c r="J15" s="25">
        <v>0.27019599999999999</v>
      </c>
      <c r="K15" s="177"/>
    </row>
    <row r="16" spans="1:13" ht="30" x14ac:dyDescent="0.25">
      <c r="A16" s="37">
        <v>5863</v>
      </c>
      <c r="B16" s="24" t="s">
        <v>32</v>
      </c>
      <c r="C16" s="204" t="s">
        <v>259</v>
      </c>
      <c r="D16" s="26">
        <v>31107</v>
      </c>
      <c r="E16" s="27">
        <v>35.758699999999997</v>
      </c>
      <c r="F16" s="134"/>
      <c r="G16" s="24">
        <v>5555</v>
      </c>
      <c r="H16" s="24" t="s">
        <v>59</v>
      </c>
      <c r="I16" s="24" t="s">
        <v>260</v>
      </c>
      <c r="J16" s="25">
        <v>2.3097310000000002</v>
      </c>
      <c r="K16" s="177"/>
    </row>
    <row r="17" spans="1:11" x14ac:dyDescent="0.25">
      <c r="A17" s="37">
        <v>5864</v>
      </c>
      <c r="B17" s="24" t="s">
        <v>32</v>
      </c>
      <c r="C17" s="204"/>
      <c r="D17" s="26">
        <v>31959</v>
      </c>
      <c r="E17" s="25">
        <f>9.976089+1.047983</f>
        <v>11.024072</v>
      </c>
      <c r="F17" s="134"/>
      <c r="G17" s="24"/>
      <c r="H17" s="24"/>
      <c r="I17" s="24"/>
      <c r="J17" s="27">
        <f>SUM(J15:J16)</f>
        <v>2.5799270000000001</v>
      </c>
      <c r="K17" s="177"/>
    </row>
    <row r="18" spans="1:11" x14ac:dyDescent="0.25">
      <c r="A18" s="37">
        <v>5864</v>
      </c>
      <c r="B18" s="24" t="s">
        <v>32</v>
      </c>
      <c r="C18" s="204"/>
      <c r="D18" s="26">
        <v>32448</v>
      </c>
      <c r="E18" s="25">
        <f>2.871939+0.36503</f>
        <v>3.2369689999999998</v>
      </c>
      <c r="F18" s="134"/>
      <c r="G18" s="24">
        <v>5641</v>
      </c>
      <c r="H18" s="24" t="s">
        <v>59</v>
      </c>
      <c r="I18" s="24" t="s">
        <v>246</v>
      </c>
      <c r="J18" s="27">
        <v>6.6468230000000004</v>
      </c>
      <c r="K18" s="177"/>
    </row>
    <row r="19" spans="1:11" ht="30" x14ac:dyDescent="0.25">
      <c r="A19" s="37">
        <v>5864</v>
      </c>
      <c r="B19" s="24" t="s">
        <v>32</v>
      </c>
      <c r="C19" s="203" t="s">
        <v>261</v>
      </c>
      <c r="D19" s="266">
        <v>41325</v>
      </c>
      <c r="E19" s="25">
        <f>0.000044+1.047983+0.36503</f>
        <v>1.413057</v>
      </c>
      <c r="F19" s="134"/>
      <c r="G19" s="23">
        <v>5655</v>
      </c>
      <c r="H19" s="24" t="s">
        <v>59</v>
      </c>
      <c r="I19" s="23" t="s">
        <v>262</v>
      </c>
      <c r="J19" s="27">
        <v>2.297091</v>
      </c>
      <c r="K19" s="177"/>
    </row>
    <row r="20" spans="1:11" x14ac:dyDescent="0.25">
      <c r="A20" s="37"/>
      <c r="B20" s="24"/>
      <c r="C20" s="203"/>
      <c r="D20" s="26"/>
      <c r="E20" s="27">
        <f>SUM(E17:E19)</f>
        <v>15.674098000000001</v>
      </c>
      <c r="F20" s="134"/>
      <c r="G20" s="156"/>
      <c r="H20" s="159"/>
      <c r="I20" s="156"/>
      <c r="J20" s="136">
        <f>SUM(J6+J11,J12,J13,J14,J17,J18,J19)</f>
        <v>80.830433999999983</v>
      </c>
      <c r="K20" s="177"/>
    </row>
    <row r="21" spans="1:11" ht="30" x14ac:dyDescent="0.25">
      <c r="A21" s="37">
        <v>5867</v>
      </c>
      <c r="B21" s="24" t="s">
        <v>32</v>
      </c>
      <c r="C21" s="268" t="s">
        <v>263</v>
      </c>
      <c r="D21" s="25"/>
      <c r="E21" s="25">
        <v>7.1274000000000004E-2</v>
      </c>
      <c r="I21" s="19"/>
      <c r="J21" s="96"/>
    </row>
    <row r="22" spans="1:11" ht="30" x14ac:dyDescent="0.25">
      <c r="A22" s="37">
        <v>5867</v>
      </c>
      <c r="B22" s="24" t="s">
        <v>32</v>
      </c>
      <c r="C22" s="203" t="s">
        <v>264</v>
      </c>
      <c r="D22" s="26"/>
      <c r="E22" s="25">
        <v>0.36954399999999998</v>
      </c>
      <c r="I22" s="19"/>
      <c r="J22" s="96"/>
    </row>
    <row r="23" spans="1:11" ht="30" x14ac:dyDescent="0.25">
      <c r="A23" s="37">
        <v>5867</v>
      </c>
      <c r="B23" s="24" t="s">
        <v>32</v>
      </c>
      <c r="C23" s="203" t="s">
        <v>265</v>
      </c>
      <c r="D23" s="26"/>
      <c r="E23" s="25">
        <v>0.13131100000000001</v>
      </c>
      <c r="I23" s="19"/>
      <c r="J23" s="96"/>
    </row>
    <row r="24" spans="1:11" ht="30" x14ac:dyDescent="0.25">
      <c r="A24" s="37">
        <v>5867</v>
      </c>
      <c r="B24" s="24" t="s">
        <v>32</v>
      </c>
      <c r="C24" s="203" t="s">
        <v>266</v>
      </c>
      <c r="D24" s="26"/>
      <c r="E24" s="25">
        <v>4.6175110000000004</v>
      </c>
      <c r="I24" s="19"/>
      <c r="J24" s="96"/>
    </row>
    <row r="25" spans="1:11" x14ac:dyDescent="0.25">
      <c r="A25" s="37"/>
      <c r="B25" s="24"/>
      <c r="C25" s="203"/>
      <c r="D25" s="26"/>
      <c r="E25" s="27">
        <f>SUM(E21:E24)</f>
        <v>5.1896400000000007</v>
      </c>
      <c r="I25" s="19"/>
      <c r="J25" s="96"/>
    </row>
    <row r="26" spans="1:11" ht="30" x14ac:dyDescent="0.25">
      <c r="A26" s="37">
        <v>5871</v>
      </c>
      <c r="B26" s="24" t="s">
        <v>32</v>
      </c>
      <c r="C26" s="203" t="s">
        <v>267</v>
      </c>
      <c r="D26" s="26">
        <v>31107</v>
      </c>
      <c r="E26" s="25">
        <v>3.0280070000000001</v>
      </c>
      <c r="I26" s="19"/>
      <c r="J26" s="96"/>
    </row>
    <row r="27" spans="1:11" x14ac:dyDescent="0.25">
      <c r="A27" s="37">
        <v>5871</v>
      </c>
      <c r="B27" s="24" t="s">
        <v>32</v>
      </c>
      <c r="C27" s="203"/>
      <c r="D27" s="26">
        <v>25324</v>
      </c>
      <c r="E27" s="25">
        <v>1.640852</v>
      </c>
      <c r="I27" s="19"/>
      <c r="J27" s="96"/>
    </row>
    <row r="28" spans="1:11" x14ac:dyDescent="0.25">
      <c r="A28" s="37"/>
      <c r="B28" s="24"/>
      <c r="C28" s="203"/>
      <c r="D28" s="26"/>
      <c r="E28" s="27">
        <f>SUM(E26:E27)</f>
        <v>4.6688590000000003</v>
      </c>
      <c r="I28" s="19"/>
      <c r="J28" s="96"/>
    </row>
    <row r="29" spans="1:11" ht="30" x14ac:dyDescent="0.25">
      <c r="A29" s="37">
        <v>5872</v>
      </c>
      <c r="B29" s="24" t="s">
        <v>32</v>
      </c>
      <c r="C29" s="203" t="s">
        <v>268</v>
      </c>
      <c r="D29" s="26">
        <v>42255</v>
      </c>
      <c r="E29" s="25">
        <v>7.2717140000000002</v>
      </c>
      <c r="I29" s="19"/>
      <c r="J29" s="96"/>
    </row>
    <row r="30" spans="1:11" ht="30" x14ac:dyDescent="0.25">
      <c r="A30" s="37">
        <v>5872</v>
      </c>
      <c r="B30" s="24" t="s">
        <v>32</v>
      </c>
      <c r="C30" s="203" t="s">
        <v>269</v>
      </c>
      <c r="D30" s="26">
        <v>36100</v>
      </c>
      <c r="E30" s="25">
        <v>0.146926</v>
      </c>
      <c r="I30" s="19"/>
      <c r="J30" s="15"/>
    </row>
    <row r="31" spans="1:11" x14ac:dyDescent="0.25">
      <c r="A31" s="37"/>
      <c r="B31" s="24"/>
      <c r="C31" s="203"/>
      <c r="D31" s="26"/>
      <c r="E31" s="27">
        <f>SUM(E29:E30)</f>
        <v>7.4186399999999999</v>
      </c>
      <c r="I31" s="19"/>
      <c r="J31" s="96"/>
    </row>
    <row r="32" spans="1:11" x14ac:dyDescent="0.25">
      <c r="A32" s="37">
        <v>5877</v>
      </c>
      <c r="B32" s="24" t="s">
        <v>32</v>
      </c>
      <c r="C32" s="203" t="s">
        <v>270</v>
      </c>
      <c r="D32" s="26">
        <v>23529</v>
      </c>
      <c r="E32" s="27">
        <v>2.378851</v>
      </c>
      <c r="I32" s="19"/>
      <c r="J32" s="96"/>
    </row>
    <row r="33" spans="1:10" ht="30" x14ac:dyDescent="0.25">
      <c r="A33" s="37">
        <v>5879</v>
      </c>
      <c r="B33" s="24" t="s">
        <v>32</v>
      </c>
      <c r="C33" s="203" t="s">
        <v>271</v>
      </c>
      <c r="D33" s="26">
        <v>40863</v>
      </c>
      <c r="E33" s="27">
        <v>0.26979300000000001</v>
      </c>
      <c r="J33" s="15"/>
    </row>
    <row r="34" spans="1:10" x14ac:dyDescent="0.25">
      <c r="A34" s="161"/>
      <c r="B34" s="159"/>
      <c r="C34" s="161"/>
      <c r="D34" s="125"/>
      <c r="E34" s="136">
        <f>SUM(E8+(SUM(E11:E16))+E20+E25+E28+(SUM(E31:E33)))</f>
        <v>106.19393699999999</v>
      </c>
    </row>
    <row r="35" spans="1:10" ht="30" x14ac:dyDescent="0.25">
      <c r="A35" s="178">
        <v>5401</v>
      </c>
      <c r="B35" s="24" t="s">
        <v>59</v>
      </c>
      <c r="C35" s="204" t="s">
        <v>272</v>
      </c>
      <c r="D35" s="26">
        <v>36008</v>
      </c>
      <c r="E35" s="25">
        <v>11.18066</v>
      </c>
    </row>
    <row r="36" spans="1:10" ht="30" x14ac:dyDescent="0.25">
      <c r="A36" s="178">
        <v>5401</v>
      </c>
      <c r="B36" s="24" t="s">
        <v>59</v>
      </c>
      <c r="C36" s="204" t="s">
        <v>273</v>
      </c>
      <c r="D36" s="26">
        <v>35947</v>
      </c>
      <c r="E36" s="25">
        <v>0.60522200000000004</v>
      </c>
    </row>
    <row r="37" spans="1:10" x14ac:dyDescent="0.25">
      <c r="A37" s="178">
        <v>5401</v>
      </c>
      <c r="B37" s="24" t="s">
        <v>59</v>
      </c>
      <c r="C37" s="204" t="s">
        <v>274</v>
      </c>
      <c r="D37" s="26">
        <v>25934</v>
      </c>
      <c r="E37" s="25">
        <v>0.273976</v>
      </c>
    </row>
    <row r="38" spans="1:10" ht="30" x14ac:dyDescent="0.25">
      <c r="A38" s="178">
        <v>5401</v>
      </c>
      <c r="B38" s="24" t="s">
        <v>59</v>
      </c>
      <c r="C38" s="204" t="s">
        <v>275</v>
      </c>
      <c r="D38" s="26">
        <v>37926</v>
      </c>
      <c r="E38" s="25">
        <v>5.3191000000000002E-2</v>
      </c>
    </row>
    <row r="39" spans="1:10" ht="30" x14ac:dyDescent="0.25">
      <c r="A39" s="178">
        <v>5401</v>
      </c>
      <c r="B39" s="24" t="s">
        <v>59</v>
      </c>
      <c r="C39" s="204" t="s">
        <v>272</v>
      </c>
      <c r="D39" s="26">
        <v>36008</v>
      </c>
      <c r="E39" s="25">
        <v>3.7033000000000003E-2</v>
      </c>
    </row>
    <row r="40" spans="1:10" x14ac:dyDescent="0.25">
      <c r="A40" s="178">
        <v>5401</v>
      </c>
      <c r="B40" s="24" t="s">
        <v>59</v>
      </c>
      <c r="C40" s="204" t="s">
        <v>274</v>
      </c>
      <c r="D40" s="26">
        <v>25934</v>
      </c>
      <c r="E40" s="25">
        <v>3.7033000000000003E-2</v>
      </c>
    </row>
    <row r="41" spans="1:10" ht="30" x14ac:dyDescent="0.25">
      <c r="A41" s="178">
        <v>5401</v>
      </c>
      <c r="B41" s="24" t="s">
        <v>59</v>
      </c>
      <c r="C41" s="204" t="s">
        <v>272</v>
      </c>
      <c r="D41" s="26">
        <v>36008</v>
      </c>
      <c r="E41" s="25">
        <v>1.405E-3</v>
      </c>
    </row>
    <row r="42" spans="1:10" ht="30" x14ac:dyDescent="0.25">
      <c r="A42" s="178">
        <v>5401</v>
      </c>
      <c r="B42" s="24" t="s">
        <v>59</v>
      </c>
      <c r="C42" s="204" t="s">
        <v>275</v>
      </c>
      <c r="D42" s="26">
        <v>37926</v>
      </c>
      <c r="E42" s="25">
        <v>1.405E-3</v>
      </c>
    </row>
    <row r="43" spans="1:10" x14ac:dyDescent="0.25">
      <c r="A43" s="178">
        <v>5401</v>
      </c>
      <c r="B43" s="24" t="s">
        <v>59</v>
      </c>
      <c r="C43" s="204" t="s">
        <v>274</v>
      </c>
      <c r="D43" s="26">
        <v>25934</v>
      </c>
      <c r="E43" s="25">
        <v>1.5735980000000001</v>
      </c>
    </row>
    <row r="44" spans="1:10" ht="30" x14ac:dyDescent="0.25">
      <c r="A44" s="178">
        <v>5401</v>
      </c>
      <c r="B44" s="24" t="s">
        <v>59</v>
      </c>
      <c r="C44" s="204" t="s">
        <v>275</v>
      </c>
      <c r="D44" s="26">
        <v>37926</v>
      </c>
      <c r="E44" s="25">
        <v>1.5735980000000001</v>
      </c>
    </row>
    <row r="45" spans="1:10" ht="30" x14ac:dyDescent="0.25">
      <c r="A45" s="178">
        <v>5401</v>
      </c>
      <c r="B45" s="24" t="s">
        <v>59</v>
      </c>
      <c r="C45" s="204" t="s">
        <v>272</v>
      </c>
      <c r="D45" s="26">
        <v>36008</v>
      </c>
      <c r="E45" s="25">
        <v>2.6809999999999998E-3</v>
      </c>
    </row>
    <row r="46" spans="1:10" x14ac:dyDescent="0.25">
      <c r="A46" s="178">
        <v>5401</v>
      </c>
      <c r="B46" s="24" t="s">
        <v>59</v>
      </c>
      <c r="C46" s="204" t="s">
        <v>274</v>
      </c>
      <c r="D46" s="26">
        <v>25934</v>
      </c>
      <c r="E46" s="25">
        <v>2.6809999999999998E-3</v>
      </c>
    </row>
    <row r="47" spans="1:10" ht="30" x14ac:dyDescent="0.25">
      <c r="A47" s="178">
        <v>5401</v>
      </c>
      <c r="B47" s="24" t="s">
        <v>59</v>
      </c>
      <c r="C47" s="204" t="s">
        <v>275</v>
      </c>
      <c r="D47" s="26">
        <v>37926</v>
      </c>
      <c r="E47" s="25">
        <v>2.6809999999999998E-3</v>
      </c>
    </row>
    <row r="48" spans="1:10" x14ac:dyDescent="0.25">
      <c r="A48" s="178"/>
      <c r="B48" s="24"/>
      <c r="C48" s="204"/>
      <c r="D48" s="26"/>
      <c r="E48" s="27">
        <f>SUM(E35:E47)</f>
        <v>15.345164</v>
      </c>
    </row>
    <row r="49" spans="1:5" x14ac:dyDescent="0.25">
      <c r="A49" s="178">
        <v>5409</v>
      </c>
      <c r="B49" s="24" t="s">
        <v>59</v>
      </c>
      <c r="C49" s="204" t="s">
        <v>276</v>
      </c>
      <c r="D49" s="26">
        <v>31199</v>
      </c>
      <c r="E49" s="27">
        <v>1.630279</v>
      </c>
    </row>
    <row r="50" spans="1:5" ht="30" x14ac:dyDescent="0.25">
      <c r="A50" s="178">
        <v>5410</v>
      </c>
      <c r="B50" s="24" t="s">
        <v>59</v>
      </c>
      <c r="C50" s="204" t="s">
        <v>277</v>
      </c>
      <c r="D50" s="26">
        <v>34608</v>
      </c>
      <c r="E50" s="27">
        <v>0.96095699999999995</v>
      </c>
    </row>
    <row r="51" spans="1:5" ht="30" x14ac:dyDescent="0.25">
      <c r="A51" s="178">
        <v>5412</v>
      </c>
      <c r="B51" s="24" t="s">
        <v>59</v>
      </c>
      <c r="C51" s="204" t="s">
        <v>278</v>
      </c>
      <c r="D51" s="26">
        <v>35278</v>
      </c>
      <c r="E51" s="27">
        <v>6.0164869999999997</v>
      </c>
    </row>
    <row r="52" spans="1:5" ht="30" x14ac:dyDescent="0.25">
      <c r="A52" s="178">
        <v>5416</v>
      </c>
      <c r="B52" s="24" t="s">
        <v>59</v>
      </c>
      <c r="C52" s="204" t="s">
        <v>279</v>
      </c>
      <c r="D52" s="26">
        <v>36982</v>
      </c>
      <c r="E52" s="27">
        <v>8.4279999999999994E-2</v>
      </c>
    </row>
    <row r="53" spans="1:5" ht="30" x14ac:dyDescent="0.25">
      <c r="A53" s="178">
        <v>5419</v>
      </c>
      <c r="B53" s="24" t="s">
        <v>59</v>
      </c>
      <c r="C53" s="204" t="s">
        <v>280</v>
      </c>
      <c r="D53" s="26">
        <v>37288</v>
      </c>
      <c r="E53" s="25">
        <v>4.9165830000000001</v>
      </c>
    </row>
    <row r="54" spans="1:5" ht="30" x14ac:dyDescent="0.25">
      <c r="A54" s="178">
        <v>5419</v>
      </c>
      <c r="B54" s="24" t="s">
        <v>59</v>
      </c>
      <c r="C54" s="204" t="s">
        <v>280</v>
      </c>
      <c r="D54" s="26">
        <v>37288</v>
      </c>
      <c r="E54" s="25">
        <v>0.46913899999999997</v>
      </c>
    </row>
    <row r="55" spans="1:5" x14ac:dyDescent="0.25">
      <c r="A55" s="178">
        <v>5419</v>
      </c>
      <c r="B55" s="24" t="s">
        <v>59</v>
      </c>
      <c r="C55" s="204" t="s">
        <v>274</v>
      </c>
      <c r="D55" s="26">
        <v>28491</v>
      </c>
      <c r="E55" s="25">
        <v>0.46913899999999997</v>
      </c>
    </row>
    <row r="56" spans="1:5" x14ac:dyDescent="0.25">
      <c r="A56" s="178"/>
      <c r="B56" s="24"/>
      <c r="C56" s="204"/>
      <c r="D56" s="26"/>
      <c r="E56" s="27">
        <f>SUM(E53:E55)</f>
        <v>5.8548610000000005</v>
      </c>
    </row>
    <row r="57" spans="1:5" ht="30" x14ac:dyDescent="0.25">
      <c r="A57" s="178">
        <v>5425</v>
      </c>
      <c r="B57" s="24" t="s">
        <v>59</v>
      </c>
      <c r="C57" s="204" t="s">
        <v>281</v>
      </c>
      <c r="D57" s="26">
        <v>31929</v>
      </c>
      <c r="E57" s="27">
        <v>4.86E-4</v>
      </c>
    </row>
    <row r="58" spans="1:5" x14ac:dyDescent="0.25">
      <c r="A58" s="178">
        <v>5429</v>
      </c>
      <c r="B58" s="24" t="s">
        <v>59</v>
      </c>
      <c r="C58" s="204" t="s">
        <v>282</v>
      </c>
      <c r="D58" s="26">
        <v>38860</v>
      </c>
      <c r="E58" s="27">
        <v>5.2153090000000004</v>
      </c>
    </row>
    <row r="59" spans="1:5" ht="30" x14ac:dyDescent="0.25">
      <c r="A59" s="178">
        <v>5433</v>
      </c>
      <c r="B59" s="24" t="s">
        <v>59</v>
      </c>
      <c r="C59" s="204" t="s">
        <v>283</v>
      </c>
      <c r="D59" s="26">
        <v>40313</v>
      </c>
      <c r="E59" s="25">
        <v>8.4499549999999992</v>
      </c>
    </row>
    <row r="60" spans="1:5" ht="30" x14ac:dyDescent="0.25">
      <c r="A60" s="178">
        <v>5433</v>
      </c>
      <c r="B60" s="24" t="s">
        <v>59</v>
      </c>
      <c r="C60" s="204" t="s">
        <v>284</v>
      </c>
      <c r="D60" s="26">
        <v>37469</v>
      </c>
      <c r="E60" s="25">
        <v>20.541720000000002</v>
      </c>
    </row>
    <row r="61" spans="1:5" x14ac:dyDescent="0.25">
      <c r="A61" s="178"/>
      <c r="B61" s="24"/>
      <c r="C61" s="204"/>
      <c r="D61" s="26"/>
      <c r="E61" s="27">
        <f>SUM(E59:E60)</f>
        <v>28.991675000000001</v>
      </c>
    </row>
    <row r="62" spans="1:5" ht="30" x14ac:dyDescent="0.25">
      <c r="A62" s="178">
        <v>5454</v>
      </c>
      <c r="B62" s="24" t="s">
        <v>59</v>
      </c>
      <c r="C62" s="204" t="s">
        <v>285</v>
      </c>
      <c r="D62" s="26">
        <v>38368</v>
      </c>
      <c r="E62" s="27">
        <v>0.19128600000000001</v>
      </c>
    </row>
    <row r="63" spans="1:5" ht="30" x14ac:dyDescent="0.25">
      <c r="A63" s="178">
        <v>5471</v>
      </c>
      <c r="B63" s="24" t="s">
        <v>59</v>
      </c>
      <c r="C63" s="204" t="s">
        <v>286</v>
      </c>
      <c r="D63" s="26">
        <v>29007</v>
      </c>
      <c r="E63" s="27">
        <v>3.1854469999999999</v>
      </c>
    </row>
    <row r="64" spans="1:5" ht="30" x14ac:dyDescent="0.25">
      <c r="A64" s="178">
        <v>5527</v>
      </c>
      <c r="B64" s="24" t="s">
        <v>59</v>
      </c>
      <c r="C64" s="204" t="s">
        <v>287</v>
      </c>
      <c r="D64" s="26">
        <v>37575</v>
      </c>
      <c r="E64" s="27">
        <v>1.5908519999999999</v>
      </c>
    </row>
    <row r="65" spans="1:5" ht="30" x14ac:dyDescent="0.25">
      <c r="A65" s="178">
        <v>5529</v>
      </c>
      <c r="B65" s="24" t="s">
        <v>59</v>
      </c>
      <c r="C65" s="204" t="s">
        <v>288</v>
      </c>
      <c r="D65" s="26">
        <v>37773</v>
      </c>
      <c r="E65" s="25">
        <v>1.242191</v>
      </c>
    </row>
    <row r="66" spans="1:5" ht="30" x14ac:dyDescent="0.25">
      <c r="A66" s="178">
        <v>5529</v>
      </c>
      <c r="B66" s="24" t="s">
        <v>59</v>
      </c>
      <c r="C66" s="86" t="s">
        <v>249</v>
      </c>
      <c r="D66" s="481">
        <v>43529</v>
      </c>
      <c r="E66" s="25">
        <v>0.65557600000000005</v>
      </c>
    </row>
    <row r="67" spans="1:5" x14ac:dyDescent="0.25">
      <c r="A67" s="178"/>
      <c r="B67" s="24"/>
      <c r="C67" s="204"/>
      <c r="D67" s="269"/>
      <c r="E67" s="27">
        <f>SUM(E65:E66)</f>
        <v>1.897767</v>
      </c>
    </row>
    <row r="68" spans="1:5" x14ac:dyDescent="0.25">
      <c r="A68" s="178">
        <v>5530</v>
      </c>
      <c r="B68" s="24" t="s">
        <v>59</v>
      </c>
      <c r="C68" s="204" t="s">
        <v>289</v>
      </c>
      <c r="D68" s="270">
        <v>41512</v>
      </c>
      <c r="E68" s="27">
        <v>3.6038760000000001</v>
      </c>
    </row>
    <row r="69" spans="1:5" ht="30" x14ac:dyDescent="0.25">
      <c r="A69" s="178">
        <v>5531</v>
      </c>
      <c r="B69" s="24" t="s">
        <v>59</v>
      </c>
      <c r="C69" s="204" t="s">
        <v>290</v>
      </c>
      <c r="D69" s="270">
        <v>36982</v>
      </c>
      <c r="E69" s="25">
        <v>3.7829739999999998</v>
      </c>
    </row>
    <row r="70" spans="1:5" ht="30" x14ac:dyDescent="0.25">
      <c r="A70" s="178">
        <v>5531</v>
      </c>
      <c r="B70" s="24" t="s">
        <v>59</v>
      </c>
      <c r="C70" s="86" t="s">
        <v>249</v>
      </c>
      <c r="D70" s="481">
        <v>43529</v>
      </c>
      <c r="E70" s="25">
        <v>1.2525740000000001</v>
      </c>
    </row>
    <row r="71" spans="1:5" x14ac:dyDescent="0.25">
      <c r="A71" s="178"/>
      <c r="B71" s="24"/>
      <c r="C71" s="204"/>
      <c r="D71" s="269"/>
      <c r="E71" s="27">
        <f>SUM(E69:E70)</f>
        <v>5.0355480000000004</v>
      </c>
    </row>
    <row r="72" spans="1:5" ht="30" x14ac:dyDescent="0.25">
      <c r="A72" s="178">
        <v>5532</v>
      </c>
      <c r="B72" s="24" t="s">
        <v>59</v>
      </c>
      <c r="C72" s="204" t="s">
        <v>291</v>
      </c>
      <c r="D72" s="270">
        <v>35947</v>
      </c>
      <c r="E72" s="25">
        <v>4.83521</v>
      </c>
    </row>
    <row r="73" spans="1:5" ht="30" x14ac:dyDescent="0.25">
      <c r="A73" s="178">
        <v>5532</v>
      </c>
      <c r="B73" s="24" t="s">
        <v>59</v>
      </c>
      <c r="C73" s="204" t="s">
        <v>292</v>
      </c>
      <c r="D73" s="270">
        <v>36069</v>
      </c>
      <c r="E73" s="25">
        <v>8.8684650000000005</v>
      </c>
    </row>
    <row r="74" spans="1:5" x14ac:dyDescent="0.25">
      <c r="A74" s="178"/>
      <c r="B74" s="24"/>
      <c r="C74" s="204"/>
      <c r="D74" s="269"/>
      <c r="E74" s="27">
        <f>SUM(E72:E73)</f>
        <v>13.703675</v>
      </c>
    </row>
    <row r="75" spans="1:5" ht="30" x14ac:dyDescent="0.25">
      <c r="A75" s="178">
        <v>5534</v>
      </c>
      <c r="B75" s="24" t="s">
        <v>59</v>
      </c>
      <c r="C75" s="204" t="s">
        <v>293</v>
      </c>
      <c r="D75" s="270">
        <v>36617</v>
      </c>
      <c r="E75" s="27">
        <v>24.441179999999999</v>
      </c>
    </row>
    <row r="76" spans="1:5" ht="30" x14ac:dyDescent="0.25">
      <c r="A76" s="178">
        <v>5535</v>
      </c>
      <c r="B76" s="24" t="s">
        <v>59</v>
      </c>
      <c r="C76" s="204" t="s">
        <v>294</v>
      </c>
      <c r="D76" s="270">
        <v>37408</v>
      </c>
      <c r="E76" s="27">
        <v>0.41520099999999999</v>
      </c>
    </row>
    <row r="77" spans="1:5" ht="30" x14ac:dyDescent="0.25">
      <c r="A77" s="178">
        <v>5536</v>
      </c>
      <c r="B77" s="24" t="s">
        <v>59</v>
      </c>
      <c r="C77" s="204" t="s">
        <v>295</v>
      </c>
      <c r="D77" s="270">
        <v>30590</v>
      </c>
      <c r="E77" s="27">
        <v>0.119701</v>
      </c>
    </row>
    <row r="78" spans="1:5" x14ac:dyDescent="0.25">
      <c r="A78" s="178">
        <v>5540</v>
      </c>
      <c r="B78" s="24" t="s">
        <v>59</v>
      </c>
      <c r="C78" s="204" t="s">
        <v>296</v>
      </c>
      <c r="D78" s="270">
        <v>36831</v>
      </c>
      <c r="E78" s="25">
        <v>5.6200020000000004</v>
      </c>
    </row>
    <row r="79" spans="1:5" x14ac:dyDescent="0.25">
      <c r="A79" s="178">
        <v>5540</v>
      </c>
      <c r="B79" s="24" t="s">
        <v>59</v>
      </c>
      <c r="C79" s="204" t="s">
        <v>297</v>
      </c>
      <c r="D79" s="270">
        <v>39216</v>
      </c>
      <c r="E79" s="25">
        <v>0.97778200000000004</v>
      </c>
    </row>
    <row r="80" spans="1:5" x14ac:dyDescent="0.25">
      <c r="A80" s="178"/>
      <c r="B80" s="24"/>
      <c r="C80" s="204"/>
      <c r="D80" s="269"/>
      <c r="E80" s="27">
        <f>SUM(E78:E79)</f>
        <v>6.5977840000000008</v>
      </c>
    </row>
    <row r="81" spans="1:5" ht="30" x14ac:dyDescent="0.25">
      <c r="A81" s="178">
        <v>5544</v>
      </c>
      <c r="B81" s="24" t="s">
        <v>59</v>
      </c>
      <c r="C81" s="204" t="s">
        <v>298</v>
      </c>
      <c r="D81" s="270">
        <v>37865</v>
      </c>
      <c r="E81" s="27">
        <v>7.5403999999999999E-2</v>
      </c>
    </row>
    <row r="82" spans="1:5" ht="30" x14ac:dyDescent="0.25">
      <c r="A82" s="178">
        <v>5548</v>
      </c>
      <c r="B82" s="24" t="s">
        <v>59</v>
      </c>
      <c r="C82" s="204" t="s">
        <v>299</v>
      </c>
      <c r="D82" s="270">
        <v>36770</v>
      </c>
      <c r="E82" s="27">
        <v>4.9677990000000003</v>
      </c>
    </row>
    <row r="83" spans="1:5" ht="30" x14ac:dyDescent="0.25">
      <c r="A83" s="178">
        <v>5555</v>
      </c>
      <c r="B83" s="24" t="s">
        <v>59</v>
      </c>
      <c r="C83" s="86" t="s">
        <v>258</v>
      </c>
      <c r="D83" s="481">
        <v>43272</v>
      </c>
      <c r="E83" s="27">
        <v>0.27019599999999999</v>
      </c>
    </row>
    <row r="84" spans="1:5" x14ac:dyDescent="0.25">
      <c r="A84" s="178">
        <v>5646</v>
      </c>
      <c r="B84" s="24" t="s">
        <v>59</v>
      </c>
      <c r="C84" s="204" t="s">
        <v>300</v>
      </c>
      <c r="D84" s="270">
        <v>41395</v>
      </c>
      <c r="E84" s="27">
        <v>0.239734</v>
      </c>
    </row>
    <row r="85" spans="1:5" x14ac:dyDescent="0.25">
      <c r="A85" s="178">
        <v>5650</v>
      </c>
      <c r="B85" s="24" t="s">
        <v>59</v>
      </c>
      <c r="C85" s="204" t="s">
        <v>301</v>
      </c>
      <c r="D85" s="270">
        <v>38848</v>
      </c>
      <c r="E85" s="25">
        <v>1.2430999999999999E-2</v>
      </c>
    </row>
    <row r="86" spans="1:5" ht="30" x14ac:dyDescent="0.25">
      <c r="A86" s="178">
        <v>5650</v>
      </c>
      <c r="B86" s="24" t="s">
        <v>59</v>
      </c>
      <c r="C86" s="86" t="s">
        <v>302</v>
      </c>
      <c r="D86" s="481">
        <v>43282</v>
      </c>
      <c r="E86" s="25">
        <v>1.816708</v>
      </c>
    </row>
    <row r="87" spans="1:5" x14ac:dyDescent="0.25">
      <c r="A87" s="178"/>
      <c r="B87" s="24"/>
      <c r="C87" s="204"/>
      <c r="D87" s="269"/>
      <c r="E87" s="27">
        <f>SUM(E85:E86)</f>
        <v>1.8291390000000001</v>
      </c>
    </row>
    <row r="88" spans="1:5" ht="30" x14ac:dyDescent="0.25">
      <c r="A88" s="178">
        <v>5651</v>
      </c>
      <c r="B88" s="24" t="s">
        <v>59</v>
      </c>
      <c r="C88" s="204" t="s">
        <v>303</v>
      </c>
      <c r="D88" s="270">
        <v>35309</v>
      </c>
      <c r="E88" s="25">
        <v>0.269179</v>
      </c>
    </row>
    <row r="89" spans="1:5" ht="30" x14ac:dyDescent="0.25">
      <c r="A89" s="178">
        <v>5651</v>
      </c>
      <c r="B89" s="24" t="s">
        <v>59</v>
      </c>
      <c r="C89" s="204" t="s">
        <v>304</v>
      </c>
      <c r="D89" s="270">
        <v>37408</v>
      </c>
      <c r="E89" s="25">
        <v>2.2937949999999998</v>
      </c>
    </row>
    <row r="90" spans="1:5" ht="30" x14ac:dyDescent="0.25">
      <c r="A90" s="178">
        <v>5651</v>
      </c>
      <c r="B90" s="24" t="s">
        <v>59</v>
      </c>
      <c r="C90" s="204" t="s">
        <v>305</v>
      </c>
      <c r="D90" s="270">
        <v>37377</v>
      </c>
      <c r="E90" s="25">
        <v>4.5607069999999998</v>
      </c>
    </row>
    <row r="91" spans="1:5" x14ac:dyDescent="0.25">
      <c r="A91" s="178"/>
      <c r="B91" s="24"/>
      <c r="C91" s="204"/>
      <c r="D91" s="269"/>
      <c r="E91" s="27">
        <f>SUM(E88:E90)</f>
        <v>7.1236809999999995</v>
      </c>
    </row>
    <row r="92" spans="1:5" x14ac:dyDescent="0.25">
      <c r="A92" s="178">
        <v>5655</v>
      </c>
      <c r="B92" s="24" t="s">
        <v>59</v>
      </c>
      <c r="C92" s="204" t="s">
        <v>306</v>
      </c>
      <c r="D92" s="270">
        <v>31168</v>
      </c>
      <c r="E92" s="27">
        <v>1.4714430000000001</v>
      </c>
    </row>
    <row r="93" spans="1:5" x14ac:dyDescent="0.25">
      <c r="A93" s="161"/>
      <c r="B93" s="159"/>
      <c r="C93" s="161"/>
      <c r="D93" s="125"/>
      <c r="E93" s="136">
        <f>SUM(E48,E49,E50,E51,E52,E56,E57,E58,E61,E62,E63,E64,E67,E68,E71,E74,E75,E76,E77,E80,E81,E82,E83,E84,E87,E91,E92)</f>
        <v>140.85921100000004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-0.249977111117893"/>
  </sheetPr>
  <dimension ref="A1:U162"/>
  <sheetViews>
    <sheetView workbookViewId="0">
      <selection activeCell="H4" sqref="H4"/>
    </sheetView>
  </sheetViews>
  <sheetFormatPr defaultRowHeight="15" x14ac:dyDescent="0.25"/>
  <cols>
    <col min="1" max="1" width="9.140625" customWidth="1"/>
    <col min="3" max="3" width="9.140625" customWidth="1"/>
    <col min="4" max="4" width="9.140625" style="19" customWidth="1"/>
    <col min="5" max="5" width="31.85546875" style="335" customWidth="1"/>
    <col min="6" max="6" width="9.140625" style="340" customWidth="1"/>
    <col min="7" max="7" width="27.42578125" style="335" customWidth="1"/>
    <col min="8" max="8" width="9.140625" style="340" customWidth="1"/>
    <col min="9" max="9" width="9.140625" style="96" customWidth="1"/>
    <col min="10" max="10" width="9.140625" style="19" customWidth="1"/>
    <col min="11" max="11" width="20.42578125" customWidth="1"/>
    <col min="12" max="12" width="9.140625" style="19" customWidth="1"/>
    <col min="13" max="13" width="9.140625" style="24" customWidth="1"/>
    <col min="14" max="15" width="9.140625" style="96" customWidth="1"/>
    <col min="16" max="16" width="9.140625" style="19" customWidth="1"/>
    <col min="17" max="20" width="9.140625" style="96"/>
    <col min="21" max="21" width="9.140625" style="409"/>
  </cols>
  <sheetData>
    <row r="1" spans="1:21" ht="45" x14ac:dyDescent="0.25">
      <c r="A1" s="487" t="s">
        <v>307</v>
      </c>
      <c r="B1" s="487"/>
      <c r="C1" s="487"/>
      <c r="D1" s="487"/>
      <c r="E1" s="488" t="s">
        <v>1</v>
      </c>
      <c r="F1" s="488"/>
      <c r="G1" s="488"/>
      <c r="H1" s="488"/>
      <c r="I1" s="373" t="s">
        <v>2</v>
      </c>
      <c r="J1" s="53" t="s">
        <v>3</v>
      </c>
      <c r="K1" s="483" t="s">
        <v>4</v>
      </c>
      <c r="L1" s="483"/>
      <c r="M1" s="313" t="s">
        <v>5</v>
      </c>
      <c r="N1" s="490" t="s">
        <v>6</v>
      </c>
      <c r="O1" s="490"/>
      <c r="P1" s="499" t="s">
        <v>7</v>
      </c>
      <c r="Q1" s="497" t="s">
        <v>308</v>
      </c>
      <c r="R1" s="498"/>
      <c r="S1" s="498"/>
      <c r="T1" s="402"/>
      <c r="U1" s="403"/>
    </row>
    <row r="2" spans="1:21" ht="36" x14ac:dyDescent="0.25">
      <c r="A2" s="5" t="s">
        <v>10</v>
      </c>
      <c r="B2" s="2" t="s">
        <v>11</v>
      </c>
      <c r="C2" s="2" t="s">
        <v>12</v>
      </c>
      <c r="D2" s="305" t="s">
        <v>13</v>
      </c>
      <c r="E2" s="306" t="s">
        <v>125</v>
      </c>
      <c r="F2" s="72" t="s">
        <v>15</v>
      </c>
      <c r="G2" s="307" t="s">
        <v>16</v>
      </c>
      <c r="H2" s="308" t="s">
        <v>17</v>
      </c>
      <c r="I2" s="309" t="s">
        <v>20</v>
      </c>
      <c r="J2" s="52" t="s">
        <v>21</v>
      </c>
      <c r="K2" s="310" t="s">
        <v>22</v>
      </c>
      <c r="L2" s="314" t="s">
        <v>23</v>
      </c>
      <c r="M2" s="315" t="s">
        <v>24</v>
      </c>
      <c r="N2" s="316" t="s">
        <v>25</v>
      </c>
      <c r="O2" s="349" t="s">
        <v>26</v>
      </c>
      <c r="P2" s="499"/>
      <c r="Q2" s="311" t="s">
        <v>54</v>
      </c>
      <c r="R2" s="311" t="s">
        <v>55</v>
      </c>
      <c r="S2" s="311" t="s">
        <v>309</v>
      </c>
      <c r="T2" s="404" t="s">
        <v>310</v>
      </c>
      <c r="U2" s="312" t="s">
        <v>311</v>
      </c>
    </row>
    <row r="3" spans="1:21" x14ac:dyDescent="0.25">
      <c r="A3" s="317">
        <v>4055</v>
      </c>
      <c r="B3" s="318" t="s">
        <v>59</v>
      </c>
      <c r="C3" s="319" t="s">
        <v>33</v>
      </c>
      <c r="D3" s="343">
        <v>11.274944015499999</v>
      </c>
      <c r="E3" s="333" t="s">
        <v>223</v>
      </c>
      <c r="F3" s="339">
        <v>0.2</v>
      </c>
      <c r="G3" s="333" t="s">
        <v>312</v>
      </c>
      <c r="H3" s="339">
        <v>10.3</v>
      </c>
      <c r="I3" s="374"/>
      <c r="J3" s="119"/>
      <c r="K3" s="320"/>
      <c r="L3" s="337"/>
      <c r="M3" s="367">
        <v>0.8</v>
      </c>
      <c r="N3" s="6">
        <f>D3-O3</f>
        <v>10.474944015499998</v>
      </c>
      <c r="O3" s="6">
        <v>0.8</v>
      </c>
      <c r="P3" s="347"/>
      <c r="Q3" s="405">
        <v>3.1</v>
      </c>
      <c r="R3" s="405">
        <v>6.6</v>
      </c>
      <c r="S3" s="405">
        <v>0.3</v>
      </c>
      <c r="T3" s="45">
        <v>0.9</v>
      </c>
      <c r="U3" s="25">
        <v>0.4</v>
      </c>
    </row>
    <row r="4" spans="1:21" x14ac:dyDescent="0.25">
      <c r="A4" s="317">
        <v>4056</v>
      </c>
      <c r="B4" s="318" t="s">
        <v>59</v>
      </c>
      <c r="C4" s="319" t="s">
        <v>33</v>
      </c>
      <c r="D4" s="343">
        <v>68.895746386100001</v>
      </c>
      <c r="E4" s="333" t="s">
        <v>313</v>
      </c>
      <c r="F4" s="339">
        <v>68.400000000000006</v>
      </c>
      <c r="G4" s="333" t="s">
        <v>219</v>
      </c>
      <c r="H4" s="339">
        <v>0.5</v>
      </c>
      <c r="I4" s="374">
        <v>66.3</v>
      </c>
      <c r="J4" s="119"/>
      <c r="K4" s="320"/>
      <c r="L4" s="337"/>
      <c r="M4" s="367"/>
      <c r="N4" s="6">
        <f t="shared" ref="N4:N67" si="0">D4-O4</f>
        <v>68.895746386100001</v>
      </c>
      <c r="O4" s="6">
        <v>0</v>
      </c>
      <c r="P4" s="347">
        <v>0.5</v>
      </c>
      <c r="Q4" s="405">
        <v>0</v>
      </c>
      <c r="R4" s="405">
        <v>0.1</v>
      </c>
      <c r="S4" s="405">
        <v>25.2</v>
      </c>
      <c r="T4" s="45">
        <v>5</v>
      </c>
      <c r="U4" s="25">
        <v>38.5</v>
      </c>
    </row>
    <row r="5" spans="1:21" x14ac:dyDescent="0.25">
      <c r="A5" s="317">
        <v>4057</v>
      </c>
      <c r="B5" s="318" t="s">
        <v>59</v>
      </c>
      <c r="C5" s="319" t="s">
        <v>33</v>
      </c>
      <c r="D5" s="343">
        <v>9.2863094055600008</v>
      </c>
      <c r="E5" s="333" t="s">
        <v>223</v>
      </c>
      <c r="F5" s="339">
        <v>3.1</v>
      </c>
      <c r="G5" s="333"/>
      <c r="H5" s="339"/>
      <c r="I5" s="374"/>
      <c r="J5" s="119"/>
      <c r="K5" s="320"/>
      <c r="L5" s="337"/>
      <c r="M5" s="367">
        <v>6.2</v>
      </c>
      <c r="N5" s="6">
        <f t="shared" si="0"/>
        <v>3.0863094055600007</v>
      </c>
      <c r="O5" s="6">
        <v>6.2</v>
      </c>
      <c r="P5" s="347">
        <v>0.2</v>
      </c>
      <c r="Q5" s="405">
        <v>0</v>
      </c>
      <c r="R5" s="405">
        <v>4</v>
      </c>
      <c r="S5" s="405">
        <v>5.3</v>
      </c>
      <c r="T5" s="45">
        <v>0</v>
      </c>
      <c r="U5" s="25">
        <v>0</v>
      </c>
    </row>
    <row r="6" spans="1:21" x14ac:dyDescent="0.25">
      <c r="A6" s="317">
        <v>4058</v>
      </c>
      <c r="B6" s="318" t="s">
        <v>59</v>
      </c>
      <c r="C6" s="319" t="s">
        <v>33</v>
      </c>
      <c r="D6" s="343">
        <v>13.2364733824</v>
      </c>
      <c r="E6" s="333" t="s">
        <v>219</v>
      </c>
      <c r="F6" s="339">
        <v>13.2</v>
      </c>
      <c r="G6" s="333"/>
      <c r="H6" s="339"/>
      <c r="I6" s="374">
        <v>4.4000000000000004</v>
      </c>
      <c r="J6" s="119"/>
      <c r="K6" s="320"/>
      <c r="L6" s="337"/>
      <c r="M6" s="367"/>
      <c r="N6" s="6">
        <f t="shared" si="0"/>
        <v>13.2364733824</v>
      </c>
      <c r="O6" s="6">
        <v>0</v>
      </c>
      <c r="P6" s="347">
        <v>3.2</v>
      </c>
      <c r="Q6" s="405">
        <v>5.6</v>
      </c>
      <c r="R6" s="405">
        <v>0</v>
      </c>
      <c r="S6" s="405">
        <v>3.2</v>
      </c>
      <c r="T6" s="45">
        <v>0</v>
      </c>
      <c r="U6" s="25">
        <v>4.4000000000000004</v>
      </c>
    </row>
    <row r="7" spans="1:21" x14ac:dyDescent="0.25">
      <c r="A7" s="317">
        <v>4059</v>
      </c>
      <c r="B7" s="318" t="s">
        <v>59</v>
      </c>
      <c r="C7" s="319" t="s">
        <v>33</v>
      </c>
      <c r="D7" s="343">
        <v>16.4375369433</v>
      </c>
      <c r="E7" s="333" t="s">
        <v>223</v>
      </c>
      <c r="F7" s="339">
        <v>2.4</v>
      </c>
      <c r="G7" s="333"/>
      <c r="H7" s="339"/>
      <c r="I7" s="374"/>
      <c r="J7" s="119"/>
      <c r="K7" s="320"/>
      <c r="L7" s="337"/>
      <c r="M7" s="367">
        <v>14.1</v>
      </c>
      <c r="N7" s="6">
        <f t="shared" si="0"/>
        <v>2.3375369432999999</v>
      </c>
      <c r="O7" s="6">
        <v>14.1</v>
      </c>
      <c r="P7" s="347"/>
      <c r="Q7" s="405">
        <v>0</v>
      </c>
      <c r="R7" s="405">
        <v>0</v>
      </c>
      <c r="S7" s="405">
        <v>10.7</v>
      </c>
      <c r="T7" s="45">
        <v>0</v>
      </c>
      <c r="U7" s="25">
        <v>5.7</v>
      </c>
    </row>
    <row r="8" spans="1:21" x14ac:dyDescent="0.25">
      <c r="A8" s="317">
        <v>4060</v>
      </c>
      <c r="B8" s="318" t="s">
        <v>59</v>
      </c>
      <c r="C8" s="319" t="s">
        <v>33</v>
      </c>
      <c r="D8" s="343">
        <v>11.822603386799999</v>
      </c>
      <c r="E8" s="333" t="s">
        <v>223</v>
      </c>
      <c r="F8" s="339">
        <v>11.8</v>
      </c>
      <c r="G8" s="333"/>
      <c r="H8" s="339"/>
      <c r="I8" s="374">
        <v>9.3000000000000007</v>
      </c>
      <c r="J8" s="119"/>
      <c r="K8" s="320"/>
      <c r="L8" s="337"/>
      <c r="M8" s="367"/>
      <c r="N8" s="6">
        <f t="shared" si="0"/>
        <v>11.822603386799999</v>
      </c>
      <c r="O8" s="350">
        <v>0</v>
      </c>
      <c r="P8" s="347">
        <v>1.8</v>
      </c>
      <c r="Q8" s="405">
        <v>0</v>
      </c>
      <c r="R8" s="405">
        <v>1.8</v>
      </c>
      <c r="S8" s="405">
        <v>0</v>
      </c>
      <c r="T8" s="45">
        <v>9.3000000000000007</v>
      </c>
      <c r="U8" s="25">
        <v>0.8</v>
      </c>
    </row>
    <row r="9" spans="1:21" x14ac:dyDescent="0.25">
      <c r="A9" s="317">
        <v>4061</v>
      </c>
      <c r="B9" s="318" t="s">
        <v>59</v>
      </c>
      <c r="C9" s="319" t="s">
        <v>33</v>
      </c>
      <c r="D9" s="343">
        <v>27.129586991499998</v>
      </c>
      <c r="E9" s="333" t="s">
        <v>227</v>
      </c>
      <c r="F9" s="339">
        <v>27.1</v>
      </c>
      <c r="G9" s="333"/>
      <c r="H9" s="339"/>
      <c r="I9" s="374">
        <v>3</v>
      </c>
      <c r="J9" s="119"/>
      <c r="K9" s="320"/>
      <c r="L9" s="337"/>
      <c r="M9" s="367"/>
      <c r="N9" s="6">
        <f t="shared" si="0"/>
        <v>27.129586991499998</v>
      </c>
      <c r="O9" s="6">
        <v>0</v>
      </c>
      <c r="P9" s="347">
        <v>15.6</v>
      </c>
      <c r="Q9" s="405">
        <v>5.5</v>
      </c>
      <c r="R9" s="405">
        <v>1.9</v>
      </c>
      <c r="S9" s="405">
        <v>5.2</v>
      </c>
      <c r="T9" s="45">
        <v>2.2000000000000002</v>
      </c>
      <c r="U9" s="25">
        <v>12.4</v>
      </c>
    </row>
    <row r="10" spans="1:21" x14ac:dyDescent="0.25">
      <c r="A10" s="317">
        <v>4062</v>
      </c>
      <c r="B10" s="318" t="s">
        <v>59</v>
      </c>
      <c r="C10" s="319" t="s">
        <v>33</v>
      </c>
      <c r="D10" s="343">
        <v>15.315610464400001</v>
      </c>
      <c r="E10" s="333" t="s">
        <v>229</v>
      </c>
      <c r="F10" s="339">
        <v>15.3</v>
      </c>
      <c r="G10" s="333"/>
      <c r="H10" s="339"/>
      <c r="I10" s="374"/>
      <c r="J10" s="119"/>
      <c r="K10" s="320"/>
      <c r="L10" s="337"/>
      <c r="M10" s="367"/>
      <c r="N10" s="6">
        <f t="shared" si="0"/>
        <v>9.0156104644000017</v>
      </c>
      <c r="O10" s="6">
        <v>6.3</v>
      </c>
      <c r="P10" s="347"/>
      <c r="Q10" s="405">
        <v>0</v>
      </c>
      <c r="R10" s="405">
        <v>13.1</v>
      </c>
      <c r="S10" s="405">
        <v>2.2000000000000002</v>
      </c>
      <c r="T10" s="45">
        <v>0</v>
      </c>
      <c r="U10" s="25">
        <v>0</v>
      </c>
    </row>
    <row r="11" spans="1:21" x14ac:dyDescent="0.25">
      <c r="A11" s="317">
        <v>4063</v>
      </c>
      <c r="B11" s="318" t="s">
        <v>59</v>
      </c>
      <c r="C11" s="319" t="s">
        <v>33</v>
      </c>
      <c r="D11" s="343">
        <v>16.568693226499999</v>
      </c>
      <c r="E11" s="333" t="s">
        <v>227</v>
      </c>
      <c r="F11" s="339">
        <v>16.600000000000001</v>
      </c>
      <c r="G11" s="333"/>
      <c r="H11" s="339"/>
      <c r="I11" s="374"/>
      <c r="J11" s="119">
        <v>16.600000000000001</v>
      </c>
      <c r="K11" s="320"/>
      <c r="L11" s="337"/>
      <c r="M11" s="367"/>
      <c r="N11" s="6">
        <f t="shared" si="0"/>
        <v>16.568693226499999</v>
      </c>
      <c r="O11" s="6">
        <v>0</v>
      </c>
      <c r="P11" s="347">
        <v>15.6</v>
      </c>
      <c r="Q11" s="405">
        <v>0</v>
      </c>
      <c r="R11" s="405">
        <v>15.3</v>
      </c>
      <c r="S11" s="405">
        <v>0</v>
      </c>
      <c r="T11" s="45">
        <v>0.4</v>
      </c>
      <c r="U11" s="25">
        <v>0.9</v>
      </c>
    </row>
    <row r="12" spans="1:21" ht="14.25" customHeight="1" x14ac:dyDescent="0.25">
      <c r="A12" s="317">
        <v>4064</v>
      </c>
      <c r="B12" s="318" t="s">
        <v>59</v>
      </c>
      <c r="C12" s="319" t="s">
        <v>33</v>
      </c>
      <c r="D12" s="343">
        <v>34.370868467199998</v>
      </c>
      <c r="E12" s="333" t="s">
        <v>314</v>
      </c>
      <c r="F12" s="339">
        <v>34.4</v>
      </c>
      <c r="G12" s="333"/>
      <c r="H12" s="339"/>
      <c r="I12" s="374"/>
      <c r="J12" s="119"/>
      <c r="K12" s="320"/>
      <c r="L12" s="337"/>
      <c r="M12" s="367"/>
      <c r="N12" s="6">
        <f t="shared" si="0"/>
        <v>34.370868467199998</v>
      </c>
      <c r="O12" s="6">
        <v>0</v>
      </c>
      <c r="P12" s="347"/>
      <c r="Q12" s="405">
        <v>8.6999999999999993</v>
      </c>
      <c r="R12" s="405">
        <v>15.8</v>
      </c>
      <c r="S12" s="405">
        <v>9.9</v>
      </c>
      <c r="T12" s="45">
        <v>0</v>
      </c>
      <c r="U12" s="25">
        <v>0</v>
      </c>
    </row>
    <row r="13" spans="1:21" x14ac:dyDescent="0.25">
      <c r="A13" s="317">
        <v>4065</v>
      </c>
      <c r="B13" s="318" t="s">
        <v>59</v>
      </c>
      <c r="C13" s="319" t="s">
        <v>33</v>
      </c>
      <c r="D13" s="343">
        <v>30.943441124</v>
      </c>
      <c r="E13" s="333" t="s">
        <v>227</v>
      </c>
      <c r="F13" s="339">
        <v>29.5</v>
      </c>
      <c r="G13" s="333" t="s">
        <v>219</v>
      </c>
      <c r="H13" s="339">
        <v>1.4</v>
      </c>
      <c r="I13" s="374">
        <v>1.7</v>
      </c>
      <c r="J13" s="119">
        <v>0.8</v>
      </c>
      <c r="K13" s="320"/>
      <c r="L13" s="337"/>
      <c r="M13" s="367"/>
      <c r="N13" s="6">
        <f t="shared" si="0"/>
        <v>30.943441124</v>
      </c>
      <c r="O13" s="6">
        <v>0</v>
      </c>
      <c r="P13" s="347"/>
      <c r="Q13" s="405">
        <v>0</v>
      </c>
      <c r="R13" s="405">
        <v>5.7</v>
      </c>
      <c r="S13" s="405">
        <v>18.600000000000001</v>
      </c>
      <c r="T13" s="45">
        <v>0</v>
      </c>
      <c r="U13" s="25">
        <v>0.6</v>
      </c>
    </row>
    <row r="14" spans="1:21" x14ac:dyDescent="0.25">
      <c r="A14" s="317">
        <v>4066</v>
      </c>
      <c r="B14" s="318" t="s">
        <v>59</v>
      </c>
      <c r="C14" s="319" t="s">
        <v>33</v>
      </c>
      <c r="D14" s="343">
        <v>42.340193538299999</v>
      </c>
      <c r="E14" s="333" t="s">
        <v>227</v>
      </c>
      <c r="F14" s="339">
        <v>42.3</v>
      </c>
      <c r="G14" s="333"/>
      <c r="H14" s="339"/>
      <c r="I14" s="374">
        <v>8.6999999999999993</v>
      </c>
      <c r="J14" s="119">
        <v>0.6</v>
      </c>
      <c r="K14" s="320"/>
      <c r="L14" s="337"/>
      <c r="M14" s="367"/>
      <c r="N14" s="6">
        <f t="shared" si="0"/>
        <v>42.340193538299999</v>
      </c>
      <c r="O14" s="6">
        <v>0</v>
      </c>
      <c r="P14" s="347">
        <v>9</v>
      </c>
      <c r="Q14" s="405">
        <v>0</v>
      </c>
      <c r="R14" s="405">
        <v>7</v>
      </c>
      <c r="S14" s="405">
        <v>14.1</v>
      </c>
      <c r="T14" s="45">
        <v>18.100000000000001</v>
      </c>
      <c r="U14" s="25">
        <v>3.2</v>
      </c>
    </row>
    <row r="15" spans="1:21" x14ac:dyDescent="0.25">
      <c r="A15" s="317">
        <v>4069</v>
      </c>
      <c r="B15" s="318" t="s">
        <v>59</v>
      </c>
      <c r="C15" s="319" t="s">
        <v>33</v>
      </c>
      <c r="D15" s="343">
        <v>6.8324514012000002</v>
      </c>
      <c r="E15" s="333" t="s">
        <v>315</v>
      </c>
      <c r="F15" s="339">
        <v>0</v>
      </c>
      <c r="G15" s="333" t="s">
        <v>223</v>
      </c>
      <c r="H15" s="339">
        <v>6.8</v>
      </c>
      <c r="I15" s="374">
        <v>4.8</v>
      </c>
      <c r="J15" s="119"/>
      <c r="K15" s="320"/>
      <c r="L15" s="337"/>
      <c r="M15" s="367"/>
      <c r="N15" s="6">
        <f t="shared" si="0"/>
        <v>6.8324514012000002</v>
      </c>
      <c r="O15" s="6">
        <v>0</v>
      </c>
      <c r="P15" s="347">
        <v>0.7</v>
      </c>
      <c r="Q15" s="405">
        <v>0.2</v>
      </c>
      <c r="R15" s="405">
        <v>0</v>
      </c>
      <c r="S15" s="405">
        <v>1.2</v>
      </c>
      <c r="T15" s="45">
        <v>0</v>
      </c>
      <c r="U15" s="25">
        <v>5.5</v>
      </c>
    </row>
    <row r="16" spans="1:21" x14ac:dyDescent="0.25">
      <c r="A16" s="317">
        <v>4070</v>
      </c>
      <c r="B16" s="318" t="s">
        <v>59</v>
      </c>
      <c r="C16" s="319" t="s">
        <v>33</v>
      </c>
      <c r="D16" s="343">
        <v>5.7795826221200004</v>
      </c>
      <c r="E16" s="333" t="s">
        <v>315</v>
      </c>
      <c r="F16" s="339">
        <v>5.8</v>
      </c>
      <c r="G16" s="333"/>
      <c r="H16" s="339"/>
      <c r="I16" s="374">
        <v>1.6</v>
      </c>
      <c r="J16" s="119"/>
      <c r="K16" s="320"/>
      <c r="L16" s="337"/>
      <c r="M16" s="367"/>
      <c r="N16" s="6">
        <f t="shared" si="0"/>
        <v>5.7795826221200004</v>
      </c>
      <c r="O16" s="6">
        <v>0</v>
      </c>
      <c r="P16" s="347"/>
      <c r="Q16" s="405">
        <v>0</v>
      </c>
      <c r="R16" s="405">
        <v>0</v>
      </c>
      <c r="S16" s="405">
        <v>5.6</v>
      </c>
      <c r="T16" s="45">
        <v>0.1</v>
      </c>
      <c r="U16" s="25">
        <v>0</v>
      </c>
    </row>
    <row r="17" spans="1:21" x14ac:dyDescent="0.25">
      <c r="A17" s="317">
        <v>4071</v>
      </c>
      <c r="B17" s="318" t="s">
        <v>59</v>
      </c>
      <c r="C17" s="319" t="s">
        <v>33</v>
      </c>
      <c r="D17" s="343">
        <v>6.7820465564000001</v>
      </c>
      <c r="E17" s="333" t="s">
        <v>223</v>
      </c>
      <c r="F17" s="339">
        <v>2.5</v>
      </c>
      <c r="G17" s="333"/>
      <c r="H17" s="339"/>
      <c r="I17" s="374"/>
      <c r="J17" s="119"/>
      <c r="K17" s="320"/>
      <c r="L17" s="337"/>
      <c r="M17" s="367">
        <v>4.3</v>
      </c>
      <c r="N17" s="6">
        <f t="shared" si="0"/>
        <v>2.4820465564000003</v>
      </c>
      <c r="O17" s="6">
        <v>4.3</v>
      </c>
      <c r="P17" s="347"/>
      <c r="Q17" s="405">
        <v>1.1000000000000001</v>
      </c>
      <c r="R17" s="405">
        <v>0</v>
      </c>
      <c r="S17" s="405">
        <v>1.4</v>
      </c>
      <c r="T17" s="45">
        <v>0</v>
      </c>
      <c r="U17" s="25">
        <v>4.2</v>
      </c>
    </row>
    <row r="18" spans="1:21" x14ac:dyDescent="0.25">
      <c r="A18" s="317">
        <v>4072</v>
      </c>
      <c r="B18" s="318" t="s">
        <v>59</v>
      </c>
      <c r="C18" s="319" t="s">
        <v>33</v>
      </c>
      <c r="D18" s="343">
        <v>7.5141291170400004</v>
      </c>
      <c r="E18" s="333" t="s">
        <v>223</v>
      </c>
      <c r="F18" s="339">
        <v>7.5</v>
      </c>
      <c r="G18" s="333"/>
      <c r="H18" s="339"/>
      <c r="I18" s="374">
        <v>1.2</v>
      </c>
      <c r="J18" s="119"/>
      <c r="K18" s="320"/>
      <c r="L18" s="337"/>
      <c r="M18" s="367"/>
      <c r="N18" s="6">
        <f t="shared" si="0"/>
        <v>7.5141291170400004</v>
      </c>
      <c r="O18" s="6">
        <v>0</v>
      </c>
      <c r="P18" s="347">
        <v>6.1</v>
      </c>
      <c r="Q18" s="405">
        <v>0</v>
      </c>
      <c r="R18" s="405">
        <v>6.1</v>
      </c>
      <c r="S18" s="405">
        <v>1.4</v>
      </c>
      <c r="T18" s="45">
        <v>0</v>
      </c>
      <c r="U18" s="25">
        <v>0.1</v>
      </c>
    </row>
    <row r="19" spans="1:21" x14ac:dyDescent="0.25">
      <c r="A19" s="317">
        <v>4076</v>
      </c>
      <c r="B19" s="318" t="s">
        <v>59</v>
      </c>
      <c r="C19" s="319" t="s">
        <v>33</v>
      </c>
      <c r="D19" s="343">
        <v>10.707904229</v>
      </c>
      <c r="E19" s="333"/>
      <c r="F19" s="339"/>
      <c r="G19" s="333"/>
      <c r="H19" s="339"/>
      <c r="I19" s="374"/>
      <c r="J19" s="119"/>
      <c r="K19" s="320" t="s">
        <v>126</v>
      </c>
      <c r="L19" s="337">
        <v>10.7</v>
      </c>
      <c r="M19" s="367"/>
      <c r="N19" s="6">
        <f t="shared" si="0"/>
        <v>7.9042290000010951E-3</v>
      </c>
      <c r="O19" s="6">
        <v>10.7</v>
      </c>
      <c r="P19" s="347"/>
      <c r="Q19" s="405">
        <v>0</v>
      </c>
      <c r="R19" s="405">
        <v>0</v>
      </c>
      <c r="S19" s="405">
        <v>8.9</v>
      </c>
      <c r="T19" s="45">
        <v>0</v>
      </c>
      <c r="U19" s="25">
        <v>1.8</v>
      </c>
    </row>
    <row r="20" spans="1:21" x14ac:dyDescent="0.25">
      <c r="A20" s="317">
        <v>4077</v>
      </c>
      <c r="B20" s="318" t="s">
        <v>59</v>
      </c>
      <c r="C20" s="319" t="s">
        <v>33</v>
      </c>
      <c r="D20" s="343">
        <v>17.190336266100001</v>
      </c>
      <c r="E20" s="333" t="s">
        <v>227</v>
      </c>
      <c r="F20" s="339">
        <v>17.2</v>
      </c>
      <c r="G20" s="333"/>
      <c r="H20" s="339"/>
      <c r="I20" s="374">
        <v>9.1999999999999993</v>
      </c>
      <c r="J20" s="119"/>
      <c r="K20" s="320"/>
      <c r="L20" s="337"/>
      <c r="M20" s="367"/>
      <c r="N20" s="6">
        <f t="shared" si="0"/>
        <v>17.190336266100001</v>
      </c>
      <c r="O20" s="6">
        <v>0</v>
      </c>
      <c r="P20" s="347"/>
      <c r="Q20" s="405">
        <v>3.5</v>
      </c>
      <c r="R20" s="405">
        <v>0.8</v>
      </c>
      <c r="S20" s="405">
        <v>0</v>
      </c>
      <c r="T20" s="45">
        <v>3</v>
      </c>
      <c r="U20" s="25">
        <v>9.9</v>
      </c>
    </row>
    <row r="21" spans="1:21" x14ac:dyDescent="0.25">
      <c r="A21" s="317">
        <v>4078</v>
      </c>
      <c r="B21" s="318" t="s">
        <v>59</v>
      </c>
      <c r="C21" s="319" t="s">
        <v>33</v>
      </c>
      <c r="D21" s="343">
        <v>9.7530435019000006</v>
      </c>
      <c r="E21" s="333" t="s">
        <v>227</v>
      </c>
      <c r="F21" s="339">
        <v>9.8000000000000007</v>
      </c>
      <c r="G21" s="333"/>
      <c r="H21" s="339"/>
      <c r="I21" s="374">
        <v>7.6</v>
      </c>
      <c r="J21" s="119"/>
      <c r="K21" s="320"/>
      <c r="L21" s="337"/>
      <c r="M21" s="367"/>
      <c r="N21" s="6">
        <f t="shared" si="0"/>
        <v>9.7530435019000006</v>
      </c>
      <c r="O21" s="6">
        <v>0</v>
      </c>
      <c r="P21" s="347"/>
      <c r="Q21" s="405">
        <v>2.2000000000000002</v>
      </c>
      <c r="R21" s="405">
        <v>7.6</v>
      </c>
      <c r="S21" s="405">
        <v>0</v>
      </c>
      <c r="T21" s="45">
        <v>0</v>
      </c>
      <c r="U21" s="25">
        <v>0</v>
      </c>
    </row>
    <row r="22" spans="1:21" x14ac:dyDescent="0.25">
      <c r="A22" s="317">
        <v>4079</v>
      </c>
      <c r="B22" s="318" t="s">
        <v>59</v>
      </c>
      <c r="C22" s="319" t="s">
        <v>33</v>
      </c>
      <c r="D22" s="343">
        <v>7.6319038423499999</v>
      </c>
      <c r="E22" s="333"/>
      <c r="F22" s="339"/>
      <c r="G22" s="333"/>
      <c r="H22" s="339"/>
      <c r="I22" s="374"/>
      <c r="J22" s="119"/>
      <c r="K22" s="320" t="s">
        <v>126</v>
      </c>
      <c r="L22" s="337">
        <v>7.6</v>
      </c>
      <c r="M22" s="367"/>
      <c r="N22" s="6">
        <f t="shared" si="0"/>
        <v>3.1903842350000211E-2</v>
      </c>
      <c r="O22" s="6">
        <v>7.6</v>
      </c>
      <c r="P22" s="347"/>
      <c r="Q22" s="405">
        <v>0</v>
      </c>
      <c r="R22" s="405">
        <v>0</v>
      </c>
      <c r="S22" s="405">
        <v>7.6</v>
      </c>
      <c r="T22" s="45">
        <v>0</v>
      </c>
      <c r="U22" s="25">
        <v>0</v>
      </c>
    </row>
    <row r="23" spans="1:21" x14ac:dyDescent="0.25">
      <c r="A23" s="317">
        <v>4083</v>
      </c>
      <c r="B23" s="318" t="s">
        <v>59</v>
      </c>
      <c r="C23" s="319" t="s">
        <v>33</v>
      </c>
      <c r="D23" s="343">
        <v>7.1371091382899996</v>
      </c>
      <c r="E23" s="333"/>
      <c r="F23" s="339"/>
      <c r="G23" s="333"/>
      <c r="H23" s="339"/>
      <c r="I23" s="374"/>
      <c r="J23" s="119"/>
      <c r="K23" s="320" t="s">
        <v>126</v>
      </c>
      <c r="L23" s="337">
        <v>7.1</v>
      </c>
      <c r="M23" s="367"/>
      <c r="N23" s="6">
        <f t="shared" si="0"/>
        <v>3.7109138289999954E-2</v>
      </c>
      <c r="O23" s="350">
        <v>7.1</v>
      </c>
      <c r="P23" s="347"/>
      <c r="Q23" s="405">
        <v>0</v>
      </c>
      <c r="R23" s="405">
        <v>0</v>
      </c>
      <c r="S23" s="405">
        <v>7.1</v>
      </c>
      <c r="T23" s="45">
        <v>0</v>
      </c>
      <c r="U23" s="25">
        <v>0</v>
      </c>
    </row>
    <row r="24" spans="1:21" x14ac:dyDescent="0.25">
      <c r="A24" s="317">
        <v>4086</v>
      </c>
      <c r="B24" s="318" t="s">
        <v>59</v>
      </c>
      <c r="C24" s="319" t="s">
        <v>33</v>
      </c>
      <c r="D24" s="343">
        <v>12.3211711578</v>
      </c>
      <c r="E24" s="333" t="s">
        <v>227</v>
      </c>
      <c r="F24" s="339">
        <v>12.3</v>
      </c>
      <c r="G24" s="333"/>
      <c r="H24" s="339"/>
      <c r="I24" s="374">
        <v>7.4</v>
      </c>
      <c r="J24" s="119"/>
      <c r="K24" s="320"/>
      <c r="L24" s="337"/>
      <c r="M24" s="367"/>
      <c r="N24" s="6">
        <f t="shared" si="0"/>
        <v>12.3211711578</v>
      </c>
      <c r="O24" s="6">
        <v>0</v>
      </c>
      <c r="P24" s="347">
        <v>0.9</v>
      </c>
      <c r="Q24" s="405">
        <v>3</v>
      </c>
      <c r="R24" s="405">
        <v>0</v>
      </c>
      <c r="S24" s="405">
        <v>0.4</v>
      </c>
      <c r="T24" s="45">
        <v>1.5</v>
      </c>
      <c r="U24" s="25">
        <v>7.3</v>
      </c>
    </row>
    <row r="25" spans="1:21" x14ac:dyDescent="0.25">
      <c r="A25" s="317">
        <v>4090</v>
      </c>
      <c r="B25" s="318" t="s">
        <v>59</v>
      </c>
      <c r="C25" s="319" t="s">
        <v>33</v>
      </c>
      <c r="D25" s="343">
        <v>16.320875877500001</v>
      </c>
      <c r="E25" s="333" t="s">
        <v>316</v>
      </c>
      <c r="F25" s="339">
        <v>16.3</v>
      </c>
      <c r="G25" s="333"/>
      <c r="H25" s="339"/>
      <c r="I25" s="374">
        <v>9</v>
      </c>
      <c r="J25" s="119">
        <v>0.1</v>
      </c>
      <c r="K25" s="320"/>
      <c r="L25" s="337"/>
      <c r="M25" s="367"/>
      <c r="N25" s="6">
        <f t="shared" si="0"/>
        <v>16.320875877500001</v>
      </c>
      <c r="O25" s="6">
        <v>0</v>
      </c>
      <c r="P25" s="347"/>
      <c r="Q25" s="405">
        <v>0.8</v>
      </c>
      <c r="R25" s="405">
        <v>4</v>
      </c>
      <c r="S25" s="405">
        <v>3.8</v>
      </c>
      <c r="T25" s="45">
        <v>7</v>
      </c>
      <c r="U25" s="25">
        <v>0.6</v>
      </c>
    </row>
    <row r="26" spans="1:21" x14ac:dyDescent="0.25">
      <c r="A26" s="317">
        <v>4092</v>
      </c>
      <c r="B26" s="318" t="s">
        <v>59</v>
      </c>
      <c r="C26" s="319" t="s">
        <v>33</v>
      </c>
      <c r="D26" s="343">
        <v>10.1996726922</v>
      </c>
      <c r="E26" s="333" t="s">
        <v>229</v>
      </c>
      <c r="F26" s="339">
        <v>10.199999999999999</v>
      </c>
      <c r="G26" s="333"/>
      <c r="H26" s="339"/>
      <c r="I26" s="374"/>
      <c r="J26" s="119"/>
      <c r="K26" s="320"/>
      <c r="L26" s="337"/>
      <c r="M26" s="367"/>
      <c r="N26" s="6">
        <f t="shared" si="0"/>
        <v>10.1996726922</v>
      </c>
      <c r="O26" s="6">
        <v>0</v>
      </c>
      <c r="P26" s="347">
        <v>9.6999999999999993</v>
      </c>
      <c r="Q26" s="405">
        <v>0</v>
      </c>
      <c r="R26" s="405">
        <v>5</v>
      </c>
      <c r="S26" s="405">
        <v>5.2</v>
      </c>
      <c r="T26" s="45">
        <v>0</v>
      </c>
      <c r="U26" s="25">
        <v>0</v>
      </c>
    </row>
    <row r="27" spans="1:21" x14ac:dyDescent="0.25">
      <c r="A27" s="317">
        <v>4093</v>
      </c>
      <c r="B27" s="318" t="s">
        <v>59</v>
      </c>
      <c r="C27" s="319" t="s">
        <v>33</v>
      </c>
      <c r="D27" s="343">
        <v>6.5468335870600001</v>
      </c>
      <c r="E27" s="333" t="s">
        <v>229</v>
      </c>
      <c r="F27" s="339">
        <v>6.5</v>
      </c>
      <c r="G27" s="333"/>
      <c r="H27" s="339"/>
      <c r="I27" s="374"/>
      <c r="J27" s="119"/>
      <c r="K27" s="320"/>
      <c r="L27" s="337"/>
      <c r="M27" s="367"/>
      <c r="N27" s="6">
        <f t="shared" si="0"/>
        <v>6.5468335870600001</v>
      </c>
      <c r="O27" s="6">
        <v>0</v>
      </c>
      <c r="P27" s="347">
        <v>6.5</v>
      </c>
      <c r="Q27" s="405">
        <v>0</v>
      </c>
      <c r="R27" s="405">
        <v>6.5</v>
      </c>
      <c r="S27" s="405">
        <v>0</v>
      </c>
      <c r="T27" s="45">
        <v>0</v>
      </c>
      <c r="U27" s="25">
        <v>0</v>
      </c>
    </row>
    <row r="28" spans="1:21" x14ac:dyDescent="0.25">
      <c r="A28" s="317">
        <v>4094</v>
      </c>
      <c r="B28" s="318" t="s">
        <v>59</v>
      </c>
      <c r="C28" s="319" t="s">
        <v>33</v>
      </c>
      <c r="D28" s="343">
        <v>14.667365943</v>
      </c>
      <c r="E28" s="333" t="s">
        <v>229</v>
      </c>
      <c r="F28" s="339">
        <v>14.7</v>
      </c>
      <c r="G28" s="333"/>
      <c r="H28" s="339"/>
      <c r="I28" s="374"/>
      <c r="J28" s="119"/>
      <c r="K28" s="320"/>
      <c r="L28" s="337"/>
      <c r="M28" s="367"/>
      <c r="N28" s="6">
        <f t="shared" si="0"/>
        <v>-3.2634056999999217E-2</v>
      </c>
      <c r="O28" s="350">
        <v>14.7</v>
      </c>
      <c r="P28" s="347"/>
      <c r="Q28" s="405">
        <v>0</v>
      </c>
      <c r="R28" s="405">
        <v>14.7</v>
      </c>
      <c r="S28" s="405">
        <v>0</v>
      </c>
      <c r="T28" s="45">
        <v>0</v>
      </c>
      <c r="U28" s="25">
        <v>0</v>
      </c>
    </row>
    <row r="29" spans="1:21" x14ac:dyDescent="0.25">
      <c r="A29" s="317">
        <v>4095</v>
      </c>
      <c r="B29" s="318" t="s">
        <v>59</v>
      </c>
      <c r="C29" s="319" t="s">
        <v>33</v>
      </c>
      <c r="D29" s="343">
        <v>8.9353895442900004</v>
      </c>
      <c r="E29" s="333" t="s">
        <v>229</v>
      </c>
      <c r="F29" s="339">
        <v>8.9</v>
      </c>
      <c r="G29" s="333"/>
      <c r="H29" s="339"/>
      <c r="I29" s="374">
        <v>8.6999999999999993</v>
      </c>
      <c r="J29" s="119"/>
      <c r="K29" s="320"/>
      <c r="L29" s="337"/>
      <c r="M29" s="367"/>
      <c r="N29" s="6">
        <f t="shared" si="0"/>
        <v>8.9353895442900004</v>
      </c>
      <c r="O29" s="6">
        <v>0</v>
      </c>
      <c r="P29" s="347"/>
      <c r="Q29" s="405">
        <v>0</v>
      </c>
      <c r="R29" s="405">
        <v>0</v>
      </c>
      <c r="S29" s="405">
        <v>8.9</v>
      </c>
      <c r="T29" s="45">
        <v>0</v>
      </c>
      <c r="U29" s="25">
        <v>0</v>
      </c>
    </row>
    <row r="30" spans="1:21" x14ac:dyDescent="0.25">
      <c r="A30" s="317">
        <v>4096</v>
      </c>
      <c r="B30" s="318" t="s">
        <v>59</v>
      </c>
      <c r="C30" s="319" t="s">
        <v>33</v>
      </c>
      <c r="D30" s="343">
        <v>7.0956674119600001</v>
      </c>
      <c r="E30" s="333" t="s">
        <v>229</v>
      </c>
      <c r="F30" s="339">
        <v>7.1</v>
      </c>
      <c r="G30" s="333"/>
      <c r="H30" s="339"/>
      <c r="I30" s="374"/>
      <c r="J30" s="119"/>
      <c r="K30" s="320"/>
      <c r="L30" s="337"/>
      <c r="M30" s="367"/>
      <c r="N30" s="6">
        <f t="shared" si="0"/>
        <v>4.2956674119600002</v>
      </c>
      <c r="O30" s="350">
        <v>2.8</v>
      </c>
      <c r="P30" s="347"/>
      <c r="Q30" s="405">
        <v>0</v>
      </c>
      <c r="R30" s="405">
        <v>0</v>
      </c>
      <c r="S30" s="405">
        <v>7.1</v>
      </c>
      <c r="T30" s="45">
        <v>0</v>
      </c>
      <c r="U30" s="25">
        <v>0</v>
      </c>
    </row>
    <row r="31" spans="1:21" x14ac:dyDescent="0.25">
      <c r="A31" s="317">
        <v>4097</v>
      </c>
      <c r="B31" s="318" t="s">
        <v>59</v>
      </c>
      <c r="C31" s="319" t="s">
        <v>33</v>
      </c>
      <c r="D31" s="343">
        <v>10.980925257199999</v>
      </c>
      <c r="E31" s="333" t="s">
        <v>229</v>
      </c>
      <c r="F31" s="339">
        <v>11</v>
      </c>
      <c r="G31" s="333"/>
      <c r="H31" s="339"/>
      <c r="I31" s="374"/>
      <c r="J31" s="119"/>
      <c r="K31" s="320"/>
      <c r="L31" s="337"/>
      <c r="M31" s="367"/>
      <c r="N31" s="6">
        <f t="shared" si="0"/>
        <v>10.980925257199999</v>
      </c>
      <c r="O31" s="6">
        <v>0</v>
      </c>
      <c r="P31" s="347">
        <v>4.5</v>
      </c>
      <c r="Q31" s="405">
        <v>0</v>
      </c>
      <c r="R31" s="405">
        <v>0</v>
      </c>
      <c r="S31" s="405">
        <v>11</v>
      </c>
      <c r="T31" s="45">
        <v>0</v>
      </c>
      <c r="U31" s="25">
        <v>0</v>
      </c>
    </row>
    <row r="32" spans="1:21" x14ac:dyDescent="0.25">
      <c r="A32" s="317">
        <v>4098</v>
      </c>
      <c r="B32" s="318" t="s">
        <v>59</v>
      </c>
      <c r="C32" s="319" t="s">
        <v>33</v>
      </c>
      <c r="D32" s="343">
        <v>21.156086049199999</v>
      </c>
      <c r="E32" s="333" t="s">
        <v>229</v>
      </c>
      <c r="F32" s="339">
        <v>9.6</v>
      </c>
      <c r="G32" s="333" t="s">
        <v>223</v>
      </c>
      <c r="H32" s="339">
        <v>11.6</v>
      </c>
      <c r="I32" s="374"/>
      <c r="J32" s="119"/>
      <c r="K32" s="320"/>
      <c r="L32" s="337"/>
      <c r="M32" s="367"/>
      <c r="N32" s="6">
        <f t="shared" si="0"/>
        <v>21.056086049199997</v>
      </c>
      <c r="O32" s="350">
        <v>0.1</v>
      </c>
      <c r="P32" s="347"/>
      <c r="Q32" s="405">
        <v>0</v>
      </c>
      <c r="R32" s="405">
        <v>0</v>
      </c>
      <c r="S32" s="405">
        <v>12.3</v>
      </c>
      <c r="T32" s="45">
        <v>8.8000000000000007</v>
      </c>
      <c r="U32" s="25">
        <v>0</v>
      </c>
    </row>
    <row r="33" spans="1:21" x14ac:dyDescent="0.25">
      <c r="A33" s="317">
        <v>4099</v>
      </c>
      <c r="B33" s="318" t="s">
        <v>59</v>
      </c>
      <c r="C33" s="319" t="s">
        <v>33</v>
      </c>
      <c r="D33" s="343">
        <v>6.1022890883900001</v>
      </c>
      <c r="E33" s="333" t="s">
        <v>227</v>
      </c>
      <c r="F33" s="339">
        <v>6.1</v>
      </c>
      <c r="G33" s="333"/>
      <c r="H33" s="339"/>
      <c r="I33" s="374"/>
      <c r="J33" s="119"/>
      <c r="K33" s="320"/>
      <c r="L33" s="337"/>
      <c r="M33" s="367"/>
      <c r="N33" s="6">
        <f t="shared" si="0"/>
        <v>6.1022890883900001</v>
      </c>
      <c r="O33" s="6">
        <v>0</v>
      </c>
      <c r="P33" s="347"/>
      <c r="Q33" s="405">
        <v>0</v>
      </c>
      <c r="R33" s="405">
        <v>0.1</v>
      </c>
      <c r="S33" s="405">
        <v>5.4</v>
      </c>
      <c r="T33" s="45">
        <v>0</v>
      </c>
      <c r="U33" s="25">
        <v>0.6</v>
      </c>
    </row>
    <row r="34" spans="1:21" x14ac:dyDescent="0.25">
      <c r="A34" s="317">
        <v>4100</v>
      </c>
      <c r="B34" s="318" t="s">
        <v>59</v>
      </c>
      <c r="C34" s="319" t="s">
        <v>33</v>
      </c>
      <c r="D34" s="343">
        <v>4.1680236934200003</v>
      </c>
      <c r="E34" s="333" t="s">
        <v>227</v>
      </c>
      <c r="F34" s="339">
        <v>3.7</v>
      </c>
      <c r="G34" s="333" t="s">
        <v>227</v>
      </c>
      <c r="H34" s="339">
        <v>0.5</v>
      </c>
      <c r="I34" s="374">
        <v>0.2</v>
      </c>
      <c r="J34" s="119"/>
      <c r="K34" s="320"/>
      <c r="L34" s="337"/>
      <c r="M34" s="367"/>
      <c r="N34" s="6">
        <f t="shared" si="0"/>
        <v>4.1680236934200003</v>
      </c>
      <c r="O34" s="6">
        <v>0</v>
      </c>
      <c r="P34" s="347">
        <v>3.4</v>
      </c>
      <c r="Q34" s="405">
        <v>0</v>
      </c>
      <c r="R34" s="405">
        <v>1.2</v>
      </c>
      <c r="S34" s="405">
        <v>1.6</v>
      </c>
      <c r="T34" s="45">
        <v>0</v>
      </c>
      <c r="U34" s="25">
        <v>1.4</v>
      </c>
    </row>
    <row r="35" spans="1:21" x14ac:dyDescent="0.25">
      <c r="A35" s="317">
        <v>4101</v>
      </c>
      <c r="B35" s="318" t="s">
        <v>59</v>
      </c>
      <c r="C35" s="319" t="s">
        <v>33</v>
      </c>
      <c r="D35" s="343">
        <v>13.266157332300001</v>
      </c>
      <c r="E35" s="333" t="s">
        <v>229</v>
      </c>
      <c r="F35" s="339">
        <v>13.3</v>
      </c>
      <c r="G35" s="333"/>
      <c r="H35" s="339"/>
      <c r="I35" s="374">
        <v>4.8</v>
      </c>
      <c r="J35" s="119"/>
      <c r="K35" s="320"/>
      <c r="L35" s="337"/>
      <c r="M35" s="367"/>
      <c r="N35" s="6">
        <f t="shared" si="0"/>
        <v>13.266157332300001</v>
      </c>
      <c r="O35" s="6">
        <v>0</v>
      </c>
      <c r="P35" s="347"/>
      <c r="Q35" s="405">
        <v>0</v>
      </c>
      <c r="R35" s="405">
        <v>1.5</v>
      </c>
      <c r="S35" s="405">
        <v>3.8</v>
      </c>
      <c r="T35" s="45">
        <v>1.8</v>
      </c>
      <c r="U35" s="25">
        <v>6.2</v>
      </c>
    </row>
    <row r="36" spans="1:21" x14ac:dyDescent="0.25">
      <c r="A36" s="317">
        <v>4105</v>
      </c>
      <c r="B36" s="318" t="s">
        <v>59</v>
      </c>
      <c r="C36" s="319" t="s">
        <v>33</v>
      </c>
      <c r="D36" s="343">
        <v>36.368019892299998</v>
      </c>
      <c r="E36" s="333" t="s">
        <v>229</v>
      </c>
      <c r="F36" s="339">
        <v>36.4</v>
      </c>
      <c r="G36" s="333"/>
      <c r="H36" s="339"/>
      <c r="I36" s="374">
        <v>8.5</v>
      </c>
      <c r="J36" s="119"/>
      <c r="K36" s="320"/>
      <c r="L36" s="337"/>
      <c r="M36" s="367"/>
      <c r="N36" s="6">
        <f t="shared" si="0"/>
        <v>36.368019892299998</v>
      </c>
      <c r="O36" s="6">
        <v>0</v>
      </c>
      <c r="P36" s="347"/>
      <c r="Q36" s="405">
        <v>0</v>
      </c>
      <c r="R36" s="405">
        <v>0</v>
      </c>
      <c r="S36" s="405">
        <v>21.3</v>
      </c>
      <c r="T36" s="45">
        <v>0.5</v>
      </c>
      <c r="U36" s="25">
        <v>14.5</v>
      </c>
    </row>
    <row r="37" spans="1:21" x14ac:dyDescent="0.25">
      <c r="A37" s="317">
        <v>4109</v>
      </c>
      <c r="B37" s="318" t="s">
        <v>59</v>
      </c>
      <c r="C37" s="319" t="s">
        <v>33</v>
      </c>
      <c r="D37" s="343">
        <v>5.7367349701799997</v>
      </c>
      <c r="E37" s="333" t="s">
        <v>227</v>
      </c>
      <c r="F37" s="339">
        <v>5.7</v>
      </c>
      <c r="G37" s="333"/>
      <c r="H37" s="339"/>
      <c r="I37" s="374">
        <v>5.3</v>
      </c>
      <c r="J37" s="119">
        <v>5.3</v>
      </c>
      <c r="K37" s="320"/>
      <c r="L37" s="337"/>
      <c r="M37" s="367"/>
      <c r="N37" s="6">
        <f t="shared" si="0"/>
        <v>5.7367349701799997</v>
      </c>
      <c r="O37" s="6">
        <v>0</v>
      </c>
      <c r="P37" s="347"/>
      <c r="Q37" s="405">
        <v>0</v>
      </c>
      <c r="R37" s="405">
        <v>5.3</v>
      </c>
      <c r="S37" s="405">
        <v>0</v>
      </c>
      <c r="T37" s="45">
        <v>0.5</v>
      </c>
      <c r="U37" s="25">
        <v>0</v>
      </c>
    </row>
    <row r="38" spans="1:21" x14ac:dyDescent="0.25">
      <c r="A38" s="317">
        <v>4111</v>
      </c>
      <c r="B38" s="318" t="s">
        <v>59</v>
      </c>
      <c r="C38" s="319" t="s">
        <v>33</v>
      </c>
      <c r="D38" s="343">
        <v>5.3073755274699996</v>
      </c>
      <c r="E38" s="333" t="s">
        <v>227</v>
      </c>
      <c r="F38" s="339">
        <v>5.3</v>
      </c>
      <c r="G38" s="333"/>
      <c r="H38" s="339"/>
      <c r="I38" s="374">
        <v>1.1000000000000001</v>
      </c>
      <c r="J38" s="119">
        <v>1.1000000000000001</v>
      </c>
      <c r="K38" s="320"/>
      <c r="L38" s="337"/>
      <c r="M38" s="367"/>
      <c r="N38" s="6">
        <f t="shared" si="0"/>
        <v>5.3073755274699996</v>
      </c>
      <c r="O38" s="6">
        <v>0</v>
      </c>
      <c r="P38" s="347"/>
      <c r="Q38" s="405">
        <v>0</v>
      </c>
      <c r="R38" s="405">
        <v>2.5</v>
      </c>
      <c r="S38" s="405">
        <v>0</v>
      </c>
      <c r="T38" s="45">
        <v>1.5</v>
      </c>
      <c r="U38" s="25">
        <v>1.3</v>
      </c>
    </row>
    <row r="39" spans="1:21" x14ac:dyDescent="0.25">
      <c r="A39" s="317">
        <v>4112</v>
      </c>
      <c r="B39" s="318" t="s">
        <v>59</v>
      </c>
      <c r="C39" s="319" t="s">
        <v>33</v>
      </c>
      <c r="D39" s="343">
        <v>4.2253629090900002</v>
      </c>
      <c r="E39" s="333" t="s">
        <v>227</v>
      </c>
      <c r="F39" s="339">
        <v>4.2</v>
      </c>
      <c r="G39" s="333"/>
      <c r="H39" s="339"/>
      <c r="I39" s="374">
        <v>0.5</v>
      </c>
      <c r="J39" s="119">
        <v>0.5</v>
      </c>
      <c r="K39" s="320"/>
      <c r="L39" s="337"/>
      <c r="M39" s="367"/>
      <c r="N39" s="6">
        <f t="shared" si="0"/>
        <v>4.2253629090900002</v>
      </c>
      <c r="O39" s="6">
        <v>0</v>
      </c>
      <c r="P39" s="347"/>
      <c r="Q39" s="405">
        <v>0</v>
      </c>
      <c r="R39" s="405">
        <v>0.5</v>
      </c>
      <c r="S39" s="405">
        <v>0</v>
      </c>
      <c r="T39" s="45">
        <v>3.3</v>
      </c>
      <c r="U39" s="25">
        <v>0.4</v>
      </c>
    </row>
    <row r="40" spans="1:21" x14ac:dyDescent="0.25">
      <c r="A40" s="317">
        <v>4113</v>
      </c>
      <c r="B40" s="318" t="s">
        <v>59</v>
      </c>
      <c r="C40" s="319" t="s">
        <v>33</v>
      </c>
      <c r="D40" s="343">
        <v>13.1640266679</v>
      </c>
      <c r="E40" s="333" t="s">
        <v>227</v>
      </c>
      <c r="F40" s="339">
        <v>13.2</v>
      </c>
      <c r="G40" s="333"/>
      <c r="H40" s="339"/>
      <c r="I40" s="374"/>
      <c r="J40" s="119"/>
      <c r="K40" s="320"/>
      <c r="L40" s="337"/>
      <c r="M40" s="367"/>
      <c r="N40" s="6">
        <f t="shared" si="0"/>
        <v>13.1640266679</v>
      </c>
      <c r="O40" s="6">
        <v>0</v>
      </c>
      <c r="P40" s="347"/>
      <c r="Q40" s="405">
        <v>0</v>
      </c>
      <c r="R40" s="405">
        <v>0</v>
      </c>
      <c r="S40" s="405">
        <v>2.9</v>
      </c>
      <c r="T40" s="45">
        <v>0.7</v>
      </c>
      <c r="U40" s="25">
        <v>9.5</v>
      </c>
    </row>
    <row r="41" spans="1:21" x14ac:dyDescent="0.25">
      <c r="A41" s="317">
        <v>4115</v>
      </c>
      <c r="B41" s="318" t="s">
        <v>59</v>
      </c>
      <c r="C41" s="319" t="s">
        <v>33</v>
      </c>
      <c r="D41" s="343">
        <v>7.1774319557800004</v>
      </c>
      <c r="E41" s="333" t="s">
        <v>227</v>
      </c>
      <c r="F41" s="339">
        <v>7.2</v>
      </c>
      <c r="G41" s="333"/>
      <c r="H41" s="339"/>
      <c r="I41" s="374"/>
      <c r="J41" s="119"/>
      <c r="K41" s="320"/>
      <c r="L41" s="337"/>
      <c r="M41" s="367"/>
      <c r="N41" s="6">
        <f t="shared" si="0"/>
        <v>7.1774319557800004</v>
      </c>
      <c r="O41" s="6">
        <v>0</v>
      </c>
      <c r="P41" s="347">
        <v>5.3</v>
      </c>
      <c r="Q41" s="405">
        <v>0</v>
      </c>
      <c r="R41" s="405">
        <v>0</v>
      </c>
      <c r="S41" s="405">
        <v>5.3</v>
      </c>
      <c r="T41" s="45">
        <v>1.8</v>
      </c>
      <c r="U41" s="25">
        <v>0</v>
      </c>
    </row>
    <row r="42" spans="1:21" x14ac:dyDescent="0.25">
      <c r="A42" s="317">
        <v>4204</v>
      </c>
      <c r="B42" s="318" t="s">
        <v>59</v>
      </c>
      <c r="C42" s="319" t="s">
        <v>38</v>
      </c>
      <c r="D42" s="343">
        <v>5.7753808271000002</v>
      </c>
      <c r="E42" s="333" t="s">
        <v>223</v>
      </c>
      <c r="F42" s="339">
        <v>0.1</v>
      </c>
      <c r="G42" s="333"/>
      <c r="H42" s="339"/>
      <c r="I42" s="374">
        <v>4.2</v>
      </c>
      <c r="J42" s="119"/>
      <c r="K42" s="320"/>
      <c r="L42" s="337"/>
      <c r="M42" s="367">
        <v>3.5</v>
      </c>
      <c r="N42" s="6">
        <f t="shared" si="0"/>
        <v>2.2753808271000002</v>
      </c>
      <c r="O42" s="350">
        <v>3.5</v>
      </c>
      <c r="P42" s="347"/>
      <c r="Q42" s="405">
        <v>0</v>
      </c>
      <c r="R42" s="405">
        <v>1.5</v>
      </c>
      <c r="S42" s="405">
        <v>1.6</v>
      </c>
      <c r="T42" s="45">
        <v>0</v>
      </c>
      <c r="U42" s="25">
        <v>2.7</v>
      </c>
    </row>
    <row r="43" spans="1:21" x14ac:dyDescent="0.25">
      <c r="A43" s="317">
        <v>4205</v>
      </c>
      <c r="B43" s="318" t="s">
        <v>59</v>
      </c>
      <c r="C43" s="319" t="s">
        <v>38</v>
      </c>
      <c r="D43" s="343">
        <v>28.539482853900001</v>
      </c>
      <c r="E43" s="333" t="s">
        <v>313</v>
      </c>
      <c r="F43" s="339">
        <v>28.5</v>
      </c>
      <c r="G43" s="333" t="s">
        <v>312</v>
      </c>
      <c r="H43" s="339">
        <v>2.2000000000000002</v>
      </c>
      <c r="I43" s="374">
        <v>21.1</v>
      </c>
      <c r="J43" s="119"/>
      <c r="K43" s="320"/>
      <c r="L43" s="337"/>
      <c r="M43" s="367"/>
      <c r="N43" s="6">
        <f t="shared" si="0"/>
        <v>28.539482853900001</v>
      </c>
      <c r="O43" s="6">
        <v>0</v>
      </c>
      <c r="P43" s="347"/>
      <c r="Q43" s="405">
        <v>0</v>
      </c>
      <c r="R43" s="405">
        <v>0</v>
      </c>
      <c r="S43" s="405">
        <v>1.6</v>
      </c>
      <c r="T43" s="45">
        <v>8.4</v>
      </c>
      <c r="U43" s="25">
        <v>18.5</v>
      </c>
    </row>
    <row r="44" spans="1:21" x14ac:dyDescent="0.25">
      <c r="A44" s="317">
        <v>4206</v>
      </c>
      <c r="B44" s="318" t="s">
        <v>59</v>
      </c>
      <c r="C44" s="319" t="s">
        <v>38</v>
      </c>
      <c r="D44" s="343">
        <v>63.556296250400003</v>
      </c>
      <c r="E44" s="333" t="s">
        <v>223</v>
      </c>
      <c r="F44" s="339">
        <v>63.5</v>
      </c>
      <c r="G44" s="333"/>
      <c r="H44" s="339"/>
      <c r="I44" s="374"/>
      <c r="J44" s="119"/>
      <c r="K44" s="320"/>
      <c r="L44" s="337"/>
      <c r="M44" s="367"/>
      <c r="N44" s="6">
        <f t="shared" si="0"/>
        <v>63.556296250400003</v>
      </c>
      <c r="O44" s="6"/>
      <c r="P44" s="347">
        <v>6.3</v>
      </c>
      <c r="Q44" s="405">
        <v>0</v>
      </c>
      <c r="R44" s="405">
        <v>62.9</v>
      </c>
      <c r="S44" s="405">
        <v>0.7</v>
      </c>
      <c r="T44" s="45">
        <v>0</v>
      </c>
      <c r="U44" s="25">
        <v>0</v>
      </c>
    </row>
    <row r="45" spans="1:21" x14ac:dyDescent="0.25">
      <c r="A45" s="317">
        <v>4207</v>
      </c>
      <c r="B45" s="318" t="s">
        <v>59</v>
      </c>
      <c r="C45" s="319" t="s">
        <v>38</v>
      </c>
      <c r="D45" s="343">
        <v>12.443574744499999</v>
      </c>
      <c r="E45" s="333" t="s">
        <v>223</v>
      </c>
      <c r="F45" s="339">
        <v>0.5</v>
      </c>
      <c r="G45" s="333"/>
      <c r="H45" s="339"/>
      <c r="I45" s="374"/>
      <c r="J45" s="119"/>
      <c r="K45" s="320"/>
      <c r="L45" s="337"/>
      <c r="M45" s="367">
        <v>11.9</v>
      </c>
      <c r="N45" s="6">
        <f t="shared" si="0"/>
        <v>0.44357474449999934</v>
      </c>
      <c r="O45" s="6">
        <v>12</v>
      </c>
      <c r="P45" s="347"/>
      <c r="Q45" s="405">
        <v>0</v>
      </c>
      <c r="R45" s="405">
        <v>8.4</v>
      </c>
      <c r="S45" s="405">
        <v>1.6</v>
      </c>
      <c r="T45" s="45">
        <v>0</v>
      </c>
      <c r="U45" s="25">
        <v>2.5</v>
      </c>
    </row>
    <row r="46" spans="1:21" x14ac:dyDescent="0.25">
      <c r="A46" s="317">
        <v>4208</v>
      </c>
      <c r="B46" s="318" t="s">
        <v>59</v>
      </c>
      <c r="C46" s="319" t="s">
        <v>38</v>
      </c>
      <c r="D46" s="343">
        <v>30.425461786900001</v>
      </c>
      <c r="E46" s="333" t="s">
        <v>317</v>
      </c>
      <c r="F46" s="339">
        <v>30.4</v>
      </c>
      <c r="G46" s="333"/>
      <c r="H46" s="339"/>
      <c r="I46" s="374"/>
      <c r="J46" s="119"/>
      <c r="K46" s="320"/>
      <c r="L46" s="337"/>
      <c r="M46" s="367"/>
      <c r="N46" s="6">
        <f t="shared" si="0"/>
        <v>30.425461786900001</v>
      </c>
      <c r="O46" s="6">
        <v>0</v>
      </c>
      <c r="P46" s="347"/>
      <c r="Q46" s="405">
        <v>0</v>
      </c>
      <c r="R46" s="405">
        <v>2.1</v>
      </c>
      <c r="S46" s="405">
        <v>25.4</v>
      </c>
      <c r="T46" s="45">
        <v>2.9</v>
      </c>
      <c r="U46" s="25">
        <v>0</v>
      </c>
    </row>
    <row r="47" spans="1:21" x14ac:dyDescent="0.25">
      <c r="A47" s="317">
        <v>4209</v>
      </c>
      <c r="B47" s="318" t="s">
        <v>59</v>
      </c>
      <c r="C47" s="319" t="s">
        <v>38</v>
      </c>
      <c r="D47" s="343">
        <v>32.893208978600001</v>
      </c>
      <c r="E47" s="333" t="s">
        <v>317</v>
      </c>
      <c r="F47" s="339">
        <v>32.9</v>
      </c>
      <c r="G47" s="333"/>
      <c r="H47" s="339"/>
      <c r="I47" s="374"/>
      <c r="J47" s="119"/>
      <c r="K47" s="320"/>
      <c r="L47" s="337"/>
      <c r="M47" s="367"/>
      <c r="N47" s="6">
        <f t="shared" si="0"/>
        <v>32.893208978600001</v>
      </c>
      <c r="O47" s="6">
        <v>0</v>
      </c>
      <c r="P47" s="347"/>
      <c r="Q47" s="405">
        <v>0</v>
      </c>
      <c r="R47" s="405">
        <v>0</v>
      </c>
      <c r="S47" s="405">
        <v>32.700000000000003</v>
      </c>
      <c r="T47" s="45">
        <v>0</v>
      </c>
      <c r="U47" s="25">
        <v>0.2</v>
      </c>
    </row>
    <row r="48" spans="1:21" x14ac:dyDescent="0.25">
      <c r="A48" s="317">
        <v>4210</v>
      </c>
      <c r="B48" s="318" t="s">
        <v>59</v>
      </c>
      <c r="C48" s="319" t="s">
        <v>38</v>
      </c>
      <c r="D48" s="343">
        <v>31.727886315700001</v>
      </c>
      <c r="E48" s="333" t="s">
        <v>317</v>
      </c>
      <c r="F48" s="339">
        <v>4.5</v>
      </c>
      <c r="G48" s="333"/>
      <c r="H48" s="339"/>
      <c r="I48" s="374">
        <v>18.5</v>
      </c>
      <c r="J48" s="119"/>
      <c r="K48" s="320"/>
      <c r="L48" s="337"/>
      <c r="M48" s="367"/>
      <c r="N48" s="6">
        <f t="shared" si="0"/>
        <v>31.727886315700001</v>
      </c>
      <c r="O48" s="6">
        <v>0</v>
      </c>
      <c r="P48" s="347"/>
      <c r="Q48" s="405">
        <v>5.6</v>
      </c>
      <c r="R48" s="405">
        <v>0</v>
      </c>
      <c r="S48" s="405">
        <v>13.3</v>
      </c>
      <c r="T48" s="45">
        <v>2.6</v>
      </c>
      <c r="U48" s="25">
        <v>10.199999999999999</v>
      </c>
    </row>
    <row r="49" spans="1:21" x14ac:dyDescent="0.25">
      <c r="A49" s="317">
        <v>4211</v>
      </c>
      <c r="B49" s="318" t="s">
        <v>59</v>
      </c>
      <c r="C49" s="319" t="s">
        <v>38</v>
      </c>
      <c r="D49" s="343">
        <v>46.455066051899998</v>
      </c>
      <c r="E49" s="333" t="s">
        <v>227</v>
      </c>
      <c r="F49" s="401">
        <v>46.5</v>
      </c>
      <c r="G49" s="333"/>
      <c r="H49" s="339"/>
      <c r="I49" s="374">
        <v>11.1</v>
      </c>
      <c r="J49" s="119">
        <v>37.700000000000003</v>
      </c>
      <c r="K49" s="320"/>
      <c r="L49" s="337"/>
      <c r="M49" s="367"/>
      <c r="N49" s="6">
        <f t="shared" si="0"/>
        <v>46.455066051899998</v>
      </c>
      <c r="O49" s="6">
        <v>0</v>
      </c>
      <c r="P49" s="347">
        <v>34.799999999999997</v>
      </c>
      <c r="Q49" s="405">
        <v>12.5</v>
      </c>
      <c r="R49" s="405">
        <v>14.3</v>
      </c>
      <c r="S49" s="405">
        <v>8.5</v>
      </c>
      <c r="T49" s="45">
        <v>0</v>
      </c>
      <c r="U49" s="25">
        <v>10.199999999999999</v>
      </c>
    </row>
    <row r="50" spans="1:21" x14ac:dyDescent="0.25">
      <c r="A50" s="317">
        <v>4212</v>
      </c>
      <c r="B50" s="318" t="s">
        <v>59</v>
      </c>
      <c r="C50" s="319" t="s">
        <v>38</v>
      </c>
      <c r="D50" s="343">
        <v>85.230626774100003</v>
      </c>
      <c r="E50" s="333" t="s">
        <v>227</v>
      </c>
      <c r="F50" s="339">
        <v>84.4</v>
      </c>
      <c r="G50" s="333"/>
      <c r="H50" s="339"/>
      <c r="I50" s="374">
        <v>27.4</v>
      </c>
      <c r="J50" s="119">
        <v>65.099999999999994</v>
      </c>
      <c r="K50" s="320"/>
      <c r="L50" s="337"/>
      <c r="M50" s="367">
        <v>0.8</v>
      </c>
      <c r="N50" s="6">
        <f t="shared" si="0"/>
        <v>84.430626774100006</v>
      </c>
      <c r="O50" s="6">
        <v>0.8</v>
      </c>
      <c r="P50" s="347">
        <v>84.6</v>
      </c>
      <c r="Q50" s="405">
        <v>39.9</v>
      </c>
      <c r="R50" s="405">
        <v>29.4</v>
      </c>
      <c r="S50" s="405">
        <v>0</v>
      </c>
      <c r="T50" s="45">
        <v>0</v>
      </c>
      <c r="U50" s="25">
        <v>16</v>
      </c>
    </row>
    <row r="51" spans="1:21" x14ac:dyDescent="0.25">
      <c r="A51" s="317">
        <v>4213</v>
      </c>
      <c r="B51" s="318" t="s">
        <v>59</v>
      </c>
      <c r="C51" s="319" t="s">
        <v>38</v>
      </c>
      <c r="D51" s="343">
        <v>30.856635786199998</v>
      </c>
      <c r="E51" s="333" t="s">
        <v>227</v>
      </c>
      <c r="F51" s="339">
        <v>30.9</v>
      </c>
      <c r="G51" s="333"/>
      <c r="H51" s="339"/>
      <c r="I51" s="374">
        <v>36.5</v>
      </c>
      <c r="J51" s="119">
        <v>8.1999999999999993</v>
      </c>
      <c r="K51" s="320"/>
      <c r="L51" s="337"/>
      <c r="M51" s="367"/>
      <c r="N51" s="6">
        <f t="shared" si="0"/>
        <v>30.856635786199998</v>
      </c>
      <c r="O51" s="350">
        <v>0</v>
      </c>
      <c r="P51" s="347">
        <v>95</v>
      </c>
      <c r="Q51" s="405">
        <v>4</v>
      </c>
      <c r="R51" s="405">
        <v>15.1</v>
      </c>
      <c r="S51" s="405">
        <v>1.4</v>
      </c>
      <c r="T51" s="45">
        <v>0</v>
      </c>
      <c r="U51" s="25">
        <v>10.4</v>
      </c>
    </row>
    <row r="52" spans="1:21" x14ac:dyDescent="0.25">
      <c r="A52" s="317">
        <v>4214</v>
      </c>
      <c r="B52" s="318" t="s">
        <v>59</v>
      </c>
      <c r="C52" s="319" t="s">
        <v>38</v>
      </c>
      <c r="D52" s="343">
        <v>23.688164821699999</v>
      </c>
      <c r="E52" s="333" t="s">
        <v>227</v>
      </c>
      <c r="F52" s="339">
        <v>23.7</v>
      </c>
      <c r="G52" s="333"/>
      <c r="H52" s="339"/>
      <c r="I52" s="374">
        <v>6.4</v>
      </c>
      <c r="J52" s="119">
        <v>3.3</v>
      </c>
      <c r="K52" s="320"/>
      <c r="L52" s="337"/>
      <c r="M52" s="367"/>
      <c r="N52" s="6">
        <f t="shared" si="0"/>
        <v>23.688164821699999</v>
      </c>
      <c r="O52" s="6">
        <v>0</v>
      </c>
      <c r="P52" s="347">
        <v>15.8</v>
      </c>
      <c r="Q52" s="405">
        <v>2.1</v>
      </c>
      <c r="R52" s="405">
        <v>4.5</v>
      </c>
      <c r="S52" s="405">
        <v>11.9</v>
      </c>
      <c r="T52" s="45">
        <v>3.2</v>
      </c>
      <c r="U52" s="25">
        <v>2</v>
      </c>
    </row>
    <row r="53" spans="1:21" x14ac:dyDescent="0.25">
      <c r="A53" s="317">
        <v>4215</v>
      </c>
      <c r="B53" s="318" t="s">
        <v>59</v>
      </c>
      <c r="C53" s="319" t="s">
        <v>38</v>
      </c>
      <c r="D53" s="343">
        <v>17.5333576216</v>
      </c>
      <c r="E53" s="333" t="s">
        <v>314</v>
      </c>
      <c r="F53" s="339">
        <v>2.1</v>
      </c>
      <c r="G53" s="333" t="s">
        <v>318</v>
      </c>
      <c r="H53" s="339">
        <v>7.3</v>
      </c>
      <c r="I53" s="374">
        <v>5.0999999999999996</v>
      </c>
      <c r="J53" s="119"/>
      <c r="K53" s="320"/>
      <c r="L53" s="337"/>
      <c r="M53" s="367">
        <v>8.1</v>
      </c>
      <c r="N53" s="6">
        <f t="shared" si="0"/>
        <v>9.4333576216000008</v>
      </c>
      <c r="O53" s="350">
        <v>8.1</v>
      </c>
      <c r="P53" s="347"/>
      <c r="Q53" s="405">
        <v>0</v>
      </c>
      <c r="R53" s="405">
        <v>4.5999999999999996</v>
      </c>
      <c r="S53" s="405">
        <v>0</v>
      </c>
      <c r="T53" s="45">
        <v>0</v>
      </c>
      <c r="U53" s="25">
        <v>12.9</v>
      </c>
    </row>
    <row r="54" spans="1:21" x14ac:dyDescent="0.25">
      <c r="A54" s="317">
        <v>4216</v>
      </c>
      <c r="B54" s="318" t="s">
        <v>59</v>
      </c>
      <c r="C54" s="319" t="s">
        <v>38</v>
      </c>
      <c r="D54" s="343">
        <v>25.9493136822</v>
      </c>
      <c r="E54" s="333" t="s">
        <v>227</v>
      </c>
      <c r="F54" s="339">
        <v>25.9</v>
      </c>
      <c r="G54" s="333"/>
      <c r="H54" s="339"/>
      <c r="I54" s="374"/>
      <c r="J54" s="119">
        <v>21.1</v>
      </c>
      <c r="K54" s="320"/>
      <c r="L54" s="337"/>
      <c r="M54" s="367"/>
      <c r="N54" s="6">
        <f t="shared" si="0"/>
        <v>25.9493136822</v>
      </c>
      <c r="O54" s="6">
        <v>0</v>
      </c>
      <c r="P54" s="347">
        <v>12.5</v>
      </c>
      <c r="Q54" s="405">
        <v>0.5</v>
      </c>
      <c r="R54" s="405">
        <v>8.6999999999999993</v>
      </c>
      <c r="S54" s="405">
        <v>2.2999999999999998</v>
      </c>
      <c r="T54" s="45">
        <v>0</v>
      </c>
      <c r="U54" s="25">
        <v>14.5</v>
      </c>
    </row>
    <row r="55" spans="1:21" x14ac:dyDescent="0.25">
      <c r="A55" s="317">
        <v>4217</v>
      </c>
      <c r="B55" s="318" t="s">
        <v>59</v>
      </c>
      <c r="C55" s="319" t="s">
        <v>38</v>
      </c>
      <c r="D55" s="343">
        <v>11.8643822716</v>
      </c>
      <c r="E55" s="333" t="s">
        <v>223</v>
      </c>
      <c r="F55" s="339">
        <v>0.3</v>
      </c>
      <c r="G55" s="333" t="s">
        <v>229</v>
      </c>
      <c r="H55" s="339">
        <v>11.6</v>
      </c>
      <c r="I55" s="374"/>
      <c r="J55" s="119"/>
      <c r="K55" s="320"/>
      <c r="L55" s="337"/>
      <c r="M55" s="367"/>
      <c r="N55" s="6">
        <f t="shared" si="0"/>
        <v>11.8643822716</v>
      </c>
      <c r="O55" s="6">
        <v>0</v>
      </c>
      <c r="P55" s="347"/>
      <c r="Q55" s="405">
        <v>0</v>
      </c>
      <c r="R55" s="405">
        <v>0</v>
      </c>
      <c r="S55" s="405">
        <v>5.6</v>
      </c>
      <c r="T55" s="45">
        <v>4.8</v>
      </c>
      <c r="U55" s="25">
        <v>1.4</v>
      </c>
    </row>
    <row r="56" spans="1:21" x14ac:dyDescent="0.25">
      <c r="A56" s="317">
        <v>4220</v>
      </c>
      <c r="B56" s="318" t="s">
        <v>59</v>
      </c>
      <c r="C56" s="319" t="s">
        <v>38</v>
      </c>
      <c r="D56" s="343">
        <v>12.754840231699999</v>
      </c>
      <c r="E56" s="333" t="s">
        <v>228</v>
      </c>
      <c r="F56" s="339">
        <v>1.3</v>
      </c>
      <c r="G56" s="333" t="s">
        <v>227</v>
      </c>
      <c r="H56" s="339">
        <v>5.6</v>
      </c>
      <c r="I56" s="374"/>
      <c r="J56" s="119"/>
      <c r="K56" s="320"/>
      <c r="L56" s="337"/>
      <c r="M56" s="367">
        <v>5.9</v>
      </c>
      <c r="N56" s="6">
        <f t="shared" si="0"/>
        <v>6.9548402316999995</v>
      </c>
      <c r="O56" s="6">
        <v>5.8</v>
      </c>
      <c r="P56" s="347"/>
      <c r="Q56" s="405">
        <v>0.2</v>
      </c>
      <c r="R56" s="405">
        <v>5.4</v>
      </c>
      <c r="S56" s="405">
        <v>0</v>
      </c>
      <c r="T56" s="45">
        <v>0</v>
      </c>
      <c r="U56" s="25">
        <v>7.1</v>
      </c>
    </row>
    <row r="57" spans="1:21" x14ac:dyDescent="0.25">
      <c r="A57" s="317">
        <v>4221</v>
      </c>
      <c r="B57" s="318" t="s">
        <v>59</v>
      </c>
      <c r="C57" s="319" t="s">
        <v>38</v>
      </c>
      <c r="D57" s="343">
        <v>27.2878000109</v>
      </c>
      <c r="E57" s="333" t="s">
        <v>227</v>
      </c>
      <c r="F57" s="339">
        <v>27.3</v>
      </c>
      <c r="G57" s="333"/>
      <c r="H57" s="339"/>
      <c r="I57" s="374">
        <v>1.6</v>
      </c>
      <c r="J57" s="119"/>
      <c r="K57" s="320"/>
      <c r="L57" s="337"/>
      <c r="M57" s="367"/>
      <c r="N57" s="6">
        <f t="shared" si="0"/>
        <v>27.2878000109</v>
      </c>
      <c r="O57" s="6">
        <v>0</v>
      </c>
      <c r="P57" s="347"/>
      <c r="Q57" s="405">
        <v>17.2</v>
      </c>
      <c r="R57" s="405">
        <v>0</v>
      </c>
      <c r="S57" s="405">
        <v>0</v>
      </c>
      <c r="T57" s="45">
        <v>10.1</v>
      </c>
      <c r="U57" s="25">
        <v>0</v>
      </c>
    </row>
    <row r="58" spans="1:21" x14ac:dyDescent="0.25">
      <c r="A58" s="317">
        <v>4222</v>
      </c>
      <c r="B58" s="318" t="s">
        <v>59</v>
      </c>
      <c r="C58" s="319" t="s">
        <v>38</v>
      </c>
      <c r="D58" s="343">
        <v>25.8499058168</v>
      </c>
      <c r="E58" s="333" t="s">
        <v>227</v>
      </c>
      <c r="F58" s="339">
        <v>25.8</v>
      </c>
      <c r="G58" s="333"/>
      <c r="H58" s="339"/>
      <c r="I58" s="374"/>
      <c r="J58" s="119">
        <v>0.3</v>
      </c>
      <c r="K58" s="320"/>
      <c r="L58" s="337"/>
      <c r="M58" s="367"/>
      <c r="N58" s="6">
        <f t="shared" si="0"/>
        <v>25.8499058168</v>
      </c>
      <c r="O58" s="6">
        <v>0</v>
      </c>
      <c r="P58" s="347"/>
      <c r="Q58" s="405">
        <v>0</v>
      </c>
      <c r="R58" s="405">
        <v>0</v>
      </c>
      <c r="S58" s="405">
        <v>9.3000000000000007</v>
      </c>
      <c r="T58" s="45">
        <v>13.4</v>
      </c>
      <c r="U58" s="25">
        <v>3</v>
      </c>
    </row>
    <row r="59" spans="1:21" x14ac:dyDescent="0.25">
      <c r="A59" s="317">
        <v>4238</v>
      </c>
      <c r="B59" s="318" t="s">
        <v>59</v>
      </c>
      <c r="C59" s="319" t="s">
        <v>38</v>
      </c>
      <c r="D59" s="343">
        <v>17.157092134300001</v>
      </c>
      <c r="E59" s="333" t="s">
        <v>223</v>
      </c>
      <c r="F59" s="339">
        <v>17.2</v>
      </c>
      <c r="G59" s="333"/>
      <c r="H59" s="339"/>
      <c r="I59" s="374">
        <v>15.3</v>
      </c>
      <c r="J59" s="119"/>
      <c r="K59" s="320"/>
      <c r="L59" s="337"/>
      <c r="M59" s="367"/>
      <c r="N59" s="6">
        <f t="shared" si="0"/>
        <v>17.157092134300001</v>
      </c>
      <c r="O59" s="6">
        <v>0</v>
      </c>
      <c r="P59" s="347"/>
      <c r="Q59" s="405">
        <v>0</v>
      </c>
      <c r="R59" s="405">
        <v>0</v>
      </c>
      <c r="S59" s="405">
        <v>0</v>
      </c>
      <c r="T59" s="45">
        <v>0</v>
      </c>
      <c r="U59" s="25">
        <v>17.2</v>
      </c>
    </row>
    <row r="60" spans="1:21" x14ac:dyDescent="0.25">
      <c r="A60" s="317">
        <v>4239</v>
      </c>
      <c r="B60" s="318" t="s">
        <v>59</v>
      </c>
      <c r="C60" s="319" t="s">
        <v>38</v>
      </c>
      <c r="D60" s="343">
        <v>18.576228199599999</v>
      </c>
      <c r="E60" s="333" t="s">
        <v>223</v>
      </c>
      <c r="F60" s="339">
        <v>18.600000000000001</v>
      </c>
      <c r="G60" s="333"/>
      <c r="H60" s="339"/>
      <c r="I60" s="374">
        <v>10.9</v>
      </c>
      <c r="J60" s="119"/>
      <c r="K60" s="320"/>
      <c r="L60" s="337"/>
      <c r="M60" s="367"/>
      <c r="N60" s="6">
        <f t="shared" si="0"/>
        <v>18.576228199599999</v>
      </c>
      <c r="O60" s="6">
        <v>0</v>
      </c>
      <c r="P60" s="347"/>
      <c r="Q60" s="405">
        <v>0</v>
      </c>
      <c r="R60" s="405">
        <v>0</v>
      </c>
      <c r="S60" s="405">
        <v>0</v>
      </c>
      <c r="T60" s="45">
        <v>13.2</v>
      </c>
      <c r="U60" s="25">
        <v>5.4</v>
      </c>
    </row>
    <row r="61" spans="1:21" x14ac:dyDescent="0.25">
      <c r="A61" s="317">
        <v>4248</v>
      </c>
      <c r="B61" s="318" t="s">
        <v>59</v>
      </c>
      <c r="C61" s="319" t="s">
        <v>38</v>
      </c>
      <c r="D61" s="343">
        <v>8.5956665472600005</v>
      </c>
      <c r="E61" s="333" t="s">
        <v>223</v>
      </c>
      <c r="F61" s="339">
        <v>1</v>
      </c>
      <c r="G61" s="333" t="s">
        <v>229</v>
      </c>
      <c r="H61" s="339">
        <v>7.6</v>
      </c>
      <c r="I61" s="374"/>
      <c r="J61" s="119"/>
      <c r="K61" s="320"/>
      <c r="L61" s="337"/>
      <c r="M61" s="367"/>
      <c r="N61" s="6">
        <f t="shared" si="0"/>
        <v>8.5956665472600005</v>
      </c>
      <c r="O61" s="6">
        <v>0</v>
      </c>
      <c r="P61" s="347">
        <v>3.9</v>
      </c>
      <c r="Q61" s="405">
        <v>0</v>
      </c>
      <c r="R61" s="405">
        <v>0</v>
      </c>
      <c r="S61" s="405">
        <v>0</v>
      </c>
      <c r="T61" s="45">
        <v>0</v>
      </c>
      <c r="U61" s="25">
        <v>8.6</v>
      </c>
    </row>
    <row r="62" spans="1:21" x14ac:dyDescent="0.25">
      <c r="A62" s="317">
        <v>4249</v>
      </c>
      <c r="B62" s="318" t="s">
        <v>59</v>
      </c>
      <c r="C62" s="319" t="s">
        <v>38</v>
      </c>
      <c r="D62" s="343">
        <v>7.89132290537</v>
      </c>
      <c r="E62" s="333" t="s">
        <v>223</v>
      </c>
      <c r="F62" s="339">
        <v>7.9</v>
      </c>
      <c r="G62" s="333"/>
      <c r="H62" s="339"/>
      <c r="I62" s="374"/>
      <c r="J62" s="119"/>
      <c r="K62" s="320"/>
      <c r="L62" s="337"/>
      <c r="M62" s="367"/>
      <c r="N62" s="6">
        <f t="shared" si="0"/>
        <v>7.89132290537</v>
      </c>
      <c r="O62" s="6">
        <v>0</v>
      </c>
      <c r="P62" s="347">
        <v>5.0999999999999996</v>
      </c>
      <c r="Q62" s="405">
        <v>0</v>
      </c>
      <c r="R62" s="405">
        <v>0</v>
      </c>
      <c r="S62" s="405">
        <v>0</v>
      </c>
      <c r="T62" s="45">
        <v>0</v>
      </c>
      <c r="U62" s="25">
        <v>7.9</v>
      </c>
    </row>
    <row r="63" spans="1:21" x14ac:dyDescent="0.25">
      <c r="A63" s="317">
        <v>4322</v>
      </c>
      <c r="B63" s="318" t="s">
        <v>59</v>
      </c>
      <c r="C63" s="319" t="s">
        <v>41</v>
      </c>
      <c r="D63" s="343">
        <v>30.677425459999998</v>
      </c>
      <c r="E63" s="333" t="s">
        <v>313</v>
      </c>
      <c r="F63" s="339">
        <v>30.7</v>
      </c>
      <c r="G63" s="333"/>
      <c r="H63" s="339"/>
      <c r="I63" s="374">
        <v>24.4</v>
      </c>
      <c r="J63" s="119"/>
      <c r="K63" s="320"/>
      <c r="L63" s="337"/>
      <c r="M63" s="367"/>
      <c r="N63" s="6">
        <f t="shared" si="0"/>
        <v>30.677425459999998</v>
      </c>
      <c r="O63" s="6">
        <v>0</v>
      </c>
      <c r="P63" s="347"/>
      <c r="Q63" s="405">
        <v>0</v>
      </c>
      <c r="R63" s="405">
        <v>4.7</v>
      </c>
      <c r="S63" s="405">
        <v>24.8</v>
      </c>
      <c r="T63" s="45">
        <v>0</v>
      </c>
      <c r="U63" s="25">
        <v>1.2</v>
      </c>
    </row>
    <row r="64" spans="1:21" x14ac:dyDescent="0.25">
      <c r="A64" s="317">
        <v>4323</v>
      </c>
      <c r="B64" s="318" t="s">
        <v>59</v>
      </c>
      <c r="C64" s="319" t="s">
        <v>41</v>
      </c>
      <c r="D64" s="343">
        <v>34.0141770822</v>
      </c>
      <c r="E64" s="333" t="s">
        <v>223</v>
      </c>
      <c r="F64" s="339">
        <v>1.4</v>
      </c>
      <c r="G64" s="333"/>
      <c r="H64" s="339"/>
      <c r="I64" s="374"/>
      <c r="J64" s="119"/>
      <c r="K64" s="320"/>
      <c r="L64" s="337"/>
      <c r="M64" s="367">
        <v>32.700000000000003</v>
      </c>
      <c r="N64" s="6">
        <f t="shared" si="0"/>
        <v>1.4141770821999984</v>
      </c>
      <c r="O64" s="6">
        <v>32.6</v>
      </c>
      <c r="P64" s="347"/>
      <c r="Q64" s="405">
        <v>0</v>
      </c>
      <c r="R64" s="405">
        <v>19.600000000000001</v>
      </c>
      <c r="S64" s="405">
        <v>2.7</v>
      </c>
      <c r="T64" s="45">
        <v>0</v>
      </c>
      <c r="U64" s="25">
        <v>11.7</v>
      </c>
    </row>
    <row r="65" spans="1:21" x14ac:dyDescent="0.25">
      <c r="A65" s="317">
        <v>4324</v>
      </c>
      <c r="B65" s="318" t="s">
        <v>59</v>
      </c>
      <c r="C65" s="319" t="s">
        <v>41</v>
      </c>
      <c r="D65" s="343">
        <v>29.838772475799999</v>
      </c>
      <c r="E65" s="333" t="s">
        <v>223</v>
      </c>
      <c r="F65" s="339">
        <v>27.4</v>
      </c>
      <c r="G65" s="333"/>
      <c r="H65" s="339"/>
      <c r="I65" s="374"/>
      <c r="J65" s="119"/>
      <c r="K65" s="320"/>
      <c r="L65" s="337"/>
      <c r="M65" s="367">
        <v>2.4</v>
      </c>
      <c r="N65" s="6">
        <f t="shared" si="0"/>
        <v>27.4387724758</v>
      </c>
      <c r="O65" s="6">
        <v>2.4</v>
      </c>
      <c r="P65" s="347"/>
      <c r="Q65" s="405">
        <v>0</v>
      </c>
      <c r="R65" s="405">
        <v>4.5</v>
      </c>
      <c r="S65" s="405">
        <v>25.1</v>
      </c>
      <c r="T65" s="45">
        <v>0</v>
      </c>
      <c r="U65" s="25">
        <v>0.3</v>
      </c>
    </row>
    <row r="66" spans="1:21" x14ac:dyDescent="0.25">
      <c r="A66" s="317">
        <v>4325</v>
      </c>
      <c r="B66" s="318" t="s">
        <v>59</v>
      </c>
      <c r="C66" s="319" t="s">
        <v>41</v>
      </c>
      <c r="D66" s="343">
        <v>27.7610329583</v>
      </c>
      <c r="E66" s="333" t="s">
        <v>227</v>
      </c>
      <c r="F66" s="339">
        <v>27.8</v>
      </c>
      <c r="G66" s="333"/>
      <c r="H66" s="339"/>
      <c r="I66" s="374">
        <v>16.5</v>
      </c>
      <c r="J66" s="119">
        <v>12.8</v>
      </c>
      <c r="K66" s="320"/>
      <c r="L66" s="337"/>
      <c r="M66" s="367"/>
      <c r="N66" s="6">
        <f t="shared" si="0"/>
        <v>27.7610329583</v>
      </c>
      <c r="O66" s="6">
        <v>0</v>
      </c>
      <c r="P66" s="347"/>
      <c r="Q66" s="405">
        <v>0</v>
      </c>
      <c r="R66" s="405">
        <v>10.3</v>
      </c>
      <c r="S66" s="405">
        <v>11.1</v>
      </c>
      <c r="T66" s="45">
        <v>4</v>
      </c>
      <c r="U66" s="25">
        <v>2.4</v>
      </c>
    </row>
    <row r="67" spans="1:21" x14ac:dyDescent="0.25">
      <c r="A67" s="317">
        <v>4326</v>
      </c>
      <c r="B67" s="318" t="s">
        <v>59</v>
      </c>
      <c r="C67" s="319" t="s">
        <v>41</v>
      </c>
      <c r="D67" s="343">
        <v>17.506757277599998</v>
      </c>
      <c r="E67" s="333" t="s">
        <v>223</v>
      </c>
      <c r="F67" s="339">
        <v>0</v>
      </c>
      <c r="G67" s="333" t="s">
        <v>319</v>
      </c>
      <c r="H67" s="339">
        <v>17.5</v>
      </c>
      <c r="I67" s="374"/>
      <c r="J67" s="119"/>
      <c r="K67" s="320"/>
      <c r="L67" s="337"/>
      <c r="M67" s="367"/>
      <c r="N67" s="6">
        <f t="shared" si="0"/>
        <v>17.506757277599998</v>
      </c>
      <c r="O67" s="6">
        <v>0</v>
      </c>
      <c r="P67" s="347"/>
      <c r="Q67" s="405">
        <v>0</v>
      </c>
      <c r="R67" s="405">
        <v>2.8</v>
      </c>
      <c r="S67" s="405">
        <v>14.2</v>
      </c>
      <c r="T67" s="45">
        <v>0.4</v>
      </c>
      <c r="U67" s="25">
        <v>0</v>
      </c>
    </row>
    <row r="68" spans="1:21" x14ac:dyDescent="0.25">
      <c r="A68" s="317">
        <v>4327</v>
      </c>
      <c r="B68" s="318" t="s">
        <v>59</v>
      </c>
      <c r="C68" s="319" t="s">
        <v>41</v>
      </c>
      <c r="D68" s="343">
        <v>29.000112427099999</v>
      </c>
      <c r="E68" s="333" t="s">
        <v>227</v>
      </c>
      <c r="F68" s="339">
        <v>29</v>
      </c>
      <c r="G68" s="333"/>
      <c r="H68" s="339"/>
      <c r="I68" s="374">
        <v>1.1000000000000001</v>
      </c>
      <c r="J68" s="119"/>
      <c r="K68" s="320"/>
      <c r="L68" s="337"/>
      <c r="M68" s="367"/>
      <c r="N68" s="6">
        <f t="shared" ref="N68:N94" si="1">D68-O68</f>
        <v>29.000112427099999</v>
      </c>
      <c r="O68" s="6">
        <v>0</v>
      </c>
      <c r="P68" s="347"/>
      <c r="Q68" s="405">
        <v>0</v>
      </c>
      <c r="R68" s="405">
        <v>2.1</v>
      </c>
      <c r="S68" s="405">
        <v>9.1</v>
      </c>
      <c r="T68" s="45">
        <v>6.8</v>
      </c>
      <c r="U68" s="25">
        <v>11.1</v>
      </c>
    </row>
    <row r="69" spans="1:21" x14ac:dyDescent="0.25">
      <c r="A69" s="317">
        <v>4330</v>
      </c>
      <c r="B69" s="318" t="s">
        <v>59</v>
      </c>
      <c r="C69" s="319" t="s">
        <v>41</v>
      </c>
      <c r="D69" s="343">
        <v>13.547294082000001</v>
      </c>
      <c r="E69" s="333" t="s">
        <v>223</v>
      </c>
      <c r="F69" s="339">
        <v>0.4</v>
      </c>
      <c r="G69" s="333"/>
      <c r="H69" s="339"/>
      <c r="I69" s="374"/>
      <c r="J69" s="119"/>
      <c r="K69" s="320"/>
      <c r="L69" s="337"/>
      <c r="M69" s="367">
        <v>13.2</v>
      </c>
      <c r="N69" s="6">
        <f t="shared" si="1"/>
        <v>0.34729408200000123</v>
      </c>
      <c r="O69" s="6">
        <v>13.2</v>
      </c>
      <c r="P69" s="347"/>
      <c r="Q69" s="405">
        <v>0.8</v>
      </c>
      <c r="R69" s="405">
        <v>0</v>
      </c>
      <c r="S69" s="405">
        <v>6.6</v>
      </c>
      <c r="T69" s="45">
        <v>0</v>
      </c>
      <c r="U69" s="25">
        <v>6.1</v>
      </c>
    </row>
    <row r="70" spans="1:21" x14ac:dyDescent="0.25">
      <c r="A70" s="317">
        <v>4331</v>
      </c>
      <c r="B70" s="318" t="s">
        <v>59</v>
      </c>
      <c r="C70" s="319" t="s">
        <v>41</v>
      </c>
      <c r="D70" s="343">
        <v>9.12904984579</v>
      </c>
      <c r="E70" s="333" t="s">
        <v>223</v>
      </c>
      <c r="F70" s="339">
        <v>9.1</v>
      </c>
      <c r="G70" s="333"/>
      <c r="H70" s="339"/>
      <c r="I70" s="374">
        <v>0.2</v>
      </c>
      <c r="J70" s="119"/>
      <c r="K70" s="320"/>
      <c r="L70" s="337"/>
      <c r="M70" s="367"/>
      <c r="N70" s="6">
        <f t="shared" si="1"/>
        <v>9.12904984579</v>
      </c>
      <c r="O70" s="6">
        <v>0</v>
      </c>
      <c r="P70" s="347"/>
      <c r="Q70" s="405">
        <v>0</v>
      </c>
      <c r="R70" s="405">
        <v>0.2</v>
      </c>
      <c r="S70" s="405">
        <v>1.3</v>
      </c>
      <c r="T70" s="45">
        <v>7.3</v>
      </c>
      <c r="U70" s="25">
        <v>0.3</v>
      </c>
    </row>
    <row r="71" spans="1:21" x14ac:dyDescent="0.25">
      <c r="A71" s="317">
        <v>4333</v>
      </c>
      <c r="B71" s="318" t="s">
        <v>59</v>
      </c>
      <c r="C71" s="319" t="s">
        <v>41</v>
      </c>
      <c r="D71" s="343">
        <v>10.3931657135</v>
      </c>
      <c r="E71" s="333" t="s">
        <v>223</v>
      </c>
      <c r="F71" s="339">
        <v>10.4</v>
      </c>
      <c r="G71" s="333"/>
      <c r="H71" s="339"/>
      <c r="I71" s="374">
        <v>6.6</v>
      </c>
      <c r="J71" s="119"/>
      <c r="K71" s="320"/>
      <c r="L71" s="337"/>
      <c r="M71" s="367"/>
      <c r="N71" s="6">
        <f t="shared" si="1"/>
        <v>10.3931657135</v>
      </c>
      <c r="O71" s="6">
        <v>0</v>
      </c>
      <c r="P71" s="347"/>
      <c r="Q71" s="405">
        <v>5.2</v>
      </c>
      <c r="R71" s="405">
        <v>2.8</v>
      </c>
      <c r="S71" s="405">
        <v>0</v>
      </c>
      <c r="T71" s="45">
        <v>1.7</v>
      </c>
      <c r="U71" s="25">
        <v>0.6</v>
      </c>
    </row>
    <row r="72" spans="1:21" x14ac:dyDescent="0.25">
      <c r="A72" s="317">
        <v>4335</v>
      </c>
      <c r="B72" s="318" t="s">
        <v>59</v>
      </c>
      <c r="C72" s="319" t="s">
        <v>41</v>
      </c>
      <c r="D72" s="343">
        <v>69.402635437699999</v>
      </c>
      <c r="E72" s="333" t="s">
        <v>320</v>
      </c>
      <c r="F72" s="339">
        <v>35.1</v>
      </c>
      <c r="G72" s="333" t="s">
        <v>223</v>
      </c>
      <c r="H72" s="339">
        <v>34.299999999999997</v>
      </c>
      <c r="I72" s="374">
        <v>3.9</v>
      </c>
      <c r="J72" s="119"/>
      <c r="K72" s="320"/>
      <c r="L72" s="337"/>
      <c r="M72" s="367"/>
      <c r="N72" s="6">
        <f t="shared" si="1"/>
        <v>69.402635437699999</v>
      </c>
      <c r="O72" s="6">
        <v>0</v>
      </c>
      <c r="P72" s="347"/>
      <c r="Q72" s="405">
        <v>3.1</v>
      </c>
      <c r="R72" s="405">
        <v>28</v>
      </c>
      <c r="S72" s="405">
        <v>25.8</v>
      </c>
      <c r="T72" s="45">
        <v>12.7</v>
      </c>
      <c r="U72" s="25">
        <v>0</v>
      </c>
    </row>
    <row r="73" spans="1:21" x14ac:dyDescent="0.25">
      <c r="A73" s="317">
        <v>4336</v>
      </c>
      <c r="B73" s="318" t="s">
        <v>59</v>
      </c>
      <c r="C73" s="319" t="s">
        <v>41</v>
      </c>
      <c r="D73" s="343">
        <v>15.0645462616</v>
      </c>
      <c r="E73" s="333" t="s">
        <v>223</v>
      </c>
      <c r="F73" s="339">
        <v>15.1</v>
      </c>
      <c r="G73" s="333"/>
      <c r="H73" s="339"/>
      <c r="I73" s="374"/>
      <c r="J73" s="119"/>
      <c r="K73" s="320"/>
      <c r="L73" s="337"/>
      <c r="M73" s="367"/>
      <c r="N73" s="6">
        <f t="shared" si="1"/>
        <v>15.0645462616</v>
      </c>
      <c r="O73" s="6">
        <v>0</v>
      </c>
      <c r="P73" s="347"/>
      <c r="Q73" s="405">
        <v>0</v>
      </c>
      <c r="R73" s="405">
        <v>0</v>
      </c>
      <c r="S73" s="405">
        <v>4.7</v>
      </c>
      <c r="T73" s="45">
        <v>0</v>
      </c>
      <c r="U73" s="25">
        <v>10.4</v>
      </c>
    </row>
    <row r="74" spans="1:21" x14ac:dyDescent="0.25">
      <c r="A74" s="317">
        <v>4338</v>
      </c>
      <c r="B74" s="318" t="s">
        <v>59</v>
      </c>
      <c r="C74" s="319" t="s">
        <v>41</v>
      </c>
      <c r="D74" s="343">
        <v>17.324632006800002</v>
      </c>
      <c r="E74" s="333" t="s">
        <v>229</v>
      </c>
      <c r="F74" s="339">
        <v>0</v>
      </c>
      <c r="G74" s="333" t="s">
        <v>321</v>
      </c>
      <c r="H74" s="339">
        <v>16.600000000000001</v>
      </c>
      <c r="I74" s="374">
        <v>15.4</v>
      </c>
      <c r="J74" s="119"/>
      <c r="K74" s="320"/>
      <c r="L74" s="337"/>
      <c r="M74" s="367">
        <v>0.7</v>
      </c>
      <c r="N74" s="6">
        <f t="shared" si="1"/>
        <v>16.624632006800002</v>
      </c>
      <c r="O74" s="6">
        <v>0.7</v>
      </c>
      <c r="P74" s="347"/>
      <c r="Q74" s="405">
        <v>0</v>
      </c>
      <c r="R74" s="405">
        <v>0</v>
      </c>
      <c r="S74" s="405">
        <v>1.4</v>
      </c>
      <c r="T74" s="45">
        <v>0</v>
      </c>
      <c r="U74" s="25">
        <v>15.9</v>
      </c>
    </row>
    <row r="75" spans="1:21" x14ac:dyDescent="0.25">
      <c r="A75" s="317">
        <v>4340</v>
      </c>
      <c r="B75" s="318" t="s">
        <v>59</v>
      </c>
      <c r="C75" s="319" t="s">
        <v>41</v>
      </c>
      <c r="D75" s="343">
        <v>46.558561632699998</v>
      </c>
      <c r="E75" s="333"/>
      <c r="F75" s="339"/>
      <c r="G75" s="333"/>
      <c r="H75" s="339"/>
      <c r="I75" s="374"/>
      <c r="J75" s="119"/>
      <c r="K75" s="320" t="s">
        <v>126</v>
      </c>
      <c r="L75" s="337">
        <v>46.6</v>
      </c>
      <c r="M75" s="367"/>
      <c r="N75" s="6">
        <f t="shared" si="1"/>
        <v>-4.1438367300003165E-2</v>
      </c>
      <c r="O75" s="6">
        <v>46.6</v>
      </c>
      <c r="P75" s="347">
        <v>16.7</v>
      </c>
      <c r="Q75" s="405">
        <v>0</v>
      </c>
      <c r="R75" s="405">
        <v>0</v>
      </c>
      <c r="S75" s="405">
        <v>33.200000000000003</v>
      </c>
      <c r="T75" s="45">
        <v>13.3</v>
      </c>
      <c r="U75" s="25">
        <v>0</v>
      </c>
    </row>
    <row r="76" spans="1:21" x14ac:dyDescent="0.25">
      <c r="A76" s="317">
        <v>4341</v>
      </c>
      <c r="B76" s="318" t="s">
        <v>59</v>
      </c>
      <c r="C76" s="319" t="s">
        <v>41</v>
      </c>
      <c r="D76" s="343">
        <v>40.280324189200002</v>
      </c>
      <c r="E76" s="333"/>
      <c r="F76" s="339"/>
      <c r="G76" s="333"/>
      <c r="H76" s="339"/>
      <c r="I76" s="374"/>
      <c r="J76" s="119"/>
      <c r="K76" s="320" t="s">
        <v>126</v>
      </c>
      <c r="L76" s="337">
        <v>40.299999999999997</v>
      </c>
      <c r="M76" s="367"/>
      <c r="N76" s="6">
        <f t="shared" si="1"/>
        <v>-1.9675810799995475E-2</v>
      </c>
      <c r="O76" s="6">
        <v>40.299999999999997</v>
      </c>
      <c r="P76" s="347">
        <v>34.1</v>
      </c>
      <c r="Q76" s="405">
        <v>0</v>
      </c>
      <c r="R76" s="405">
        <v>26.9</v>
      </c>
      <c r="S76" s="405">
        <v>11.9</v>
      </c>
      <c r="T76" s="45">
        <v>1.5</v>
      </c>
      <c r="U76" s="25">
        <v>0</v>
      </c>
    </row>
    <row r="77" spans="1:21" x14ac:dyDescent="0.25">
      <c r="A77" s="317">
        <v>4343</v>
      </c>
      <c r="B77" s="318" t="s">
        <v>59</v>
      </c>
      <c r="C77" s="319" t="s">
        <v>41</v>
      </c>
      <c r="D77" s="343">
        <v>5.7207784206900003</v>
      </c>
      <c r="E77" s="333" t="s">
        <v>229</v>
      </c>
      <c r="F77" s="339">
        <v>5.7</v>
      </c>
      <c r="G77" s="333"/>
      <c r="H77" s="339"/>
      <c r="I77" s="374"/>
      <c r="J77" s="119"/>
      <c r="K77" s="320"/>
      <c r="L77" s="337"/>
      <c r="M77" s="367"/>
      <c r="N77" s="6">
        <f t="shared" si="1"/>
        <v>5.7207784206900003</v>
      </c>
      <c r="O77" s="6">
        <v>0</v>
      </c>
      <c r="P77" s="347"/>
      <c r="Q77" s="405">
        <v>0</v>
      </c>
      <c r="R77" s="405">
        <v>0.1</v>
      </c>
      <c r="S77" s="405">
        <v>5</v>
      </c>
      <c r="T77" s="45">
        <v>0</v>
      </c>
      <c r="U77" s="25">
        <v>0.7</v>
      </c>
    </row>
    <row r="78" spans="1:21" x14ac:dyDescent="0.25">
      <c r="A78" s="317">
        <v>4346</v>
      </c>
      <c r="B78" s="318" t="s">
        <v>59</v>
      </c>
      <c r="C78" s="319" t="s">
        <v>41</v>
      </c>
      <c r="D78" s="343">
        <v>26.412741771</v>
      </c>
      <c r="E78" s="333" t="s">
        <v>316</v>
      </c>
      <c r="F78" s="339">
        <v>26.4</v>
      </c>
      <c r="G78" s="333"/>
      <c r="H78" s="339"/>
      <c r="I78" s="374">
        <v>21.1</v>
      </c>
      <c r="J78" s="119"/>
      <c r="K78" s="320"/>
      <c r="L78" s="337"/>
      <c r="M78" s="367"/>
      <c r="N78" s="6">
        <f t="shared" si="1"/>
        <v>26.412741771</v>
      </c>
      <c r="O78" s="6">
        <v>0</v>
      </c>
      <c r="P78" s="347"/>
      <c r="Q78" s="405">
        <v>0</v>
      </c>
      <c r="R78" s="405">
        <v>0</v>
      </c>
      <c r="S78" s="405">
        <v>26</v>
      </c>
      <c r="T78" s="45">
        <v>0</v>
      </c>
      <c r="U78" s="25">
        <v>0.4</v>
      </c>
    </row>
    <row r="79" spans="1:21" x14ac:dyDescent="0.25">
      <c r="A79" s="317">
        <v>4347</v>
      </c>
      <c r="B79" s="318" t="s">
        <v>59</v>
      </c>
      <c r="C79" s="319" t="s">
        <v>41</v>
      </c>
      <c r="D79" s="343">
        <v>17.149228147500001</v>
      </c>
      <c r="E79" s="333" t="s">
        <v>223</v>
      </c>
      <c r="F79" s="339">
        <v>17.100000000000001</v>
      </c>
      <c r="G79" s="333"/>
      <c r="H79" s="339"/>
      <c r="I79" s="374"/>
      <c r="J79" s="119"/>
      <c r="K79" s="320"/>
      <c r="L79" s="337"/>
      <c r="M79" s="367"/>
      <c r="N79" s="6">
        <f t="shared" si="1"/>
        <v>17.149228147500001</v>
      </c>
      <c r="O79" s="6">
        <v>0</v>
      </c>
      <c r="P79" s="347"/>
      <c r="Q79" s="405">
        <v>12.7</v>
      </c>
      <c r="R79" s="405">
        <v>3.9</v>
      </c>
      <c r="S79" s="405">
        <v>0.4</v>
      </c>
      <c r="T79" s="45">
        <v>0.2</v>
      </c>
      <c r="U79" s="25">
        <v>0</v>
      </c>
    </row>
    <row r="80" spans="1:21" x14ac:dyDescent="0.25">
      <c r="A80" s="317">
        <v>4348</v>
      </c>
      <c r="B80" s="318" t="s">
        <v>59</v>
      </c>
      <c r="C80" s="319" t="s">
        <v>41</v>
      </c>
      <c r="D80" s="343">
        <v>33.371197862599999</v>
      </c>
      <c r="E80" s="333"/>
      <c r="F80" s="339"/>
      <c r="G80" s="333"/>
      <c r="H80" s="339"/>
      <c r="I80" s="374">
        <v>0.1</v>
      </c>
      <c r="J80" s="119"/>
      <c r="K80" s="320"/>
      <c r="L80" s="337"/>
      <c r="M80" s="367">
        <v>33.4</v>
      </c>
      <c r="N80" s="6">
        <f t="shared" si="1"/>
        <v>-2.8802137399999594E-2</v>
      </c>
      <c r="O80" s="6">
        <v>33.4</v>
      </c>
      <c r="P80" s="347"/>
      <c r="Q80" s="405">
        <v>0</v>
      </c>
      <c r="R80" s="405">
        <v>12.9</v>
      </c>
      <c r="S80" s="405">
        <v>17.399999999999999</v>
      </c>
      <c r="T80" s="45">
        <v>0</v>
      </c>
      <c r="U80" s="25">
        <v>3.1</v>
      </c>
    </row>
    <row r="81" spans="1:21" x14ac:dyDescent="0.25">
      <c r="A81" s="317">
        <v>4356</v>
      </c>
      <c r="B81" s="318" t="s">
        <v>59</v>
      </c>
      <c r="C81" s="319" t="s">
        <v>41</v>
      </c>
      <c r="D81" s="343">
        <v>30.585864479200001</v>
      </c>
      <c r="E81" s="333" t="s">
        <v>223</v>
      </c>
      <c r="F81" s="339">
        <v>27.6</v>
      </c>
      <c r="G81" s="333" t="s">
        <v>229</v>
      </c>
      <c r="H81" s="339">
        <v>3</v>
      </c>
      <c r="I81" s="374">
        <v>11.1</v>
      </c>
      <c r="J81" s="119">
        <v>5.4</v>
      </c>
      <c r="K81" s="320"/>
      <c r="L81" s="337"/>
      <c r="M81" s="367"/>
      <c r="N81" s="6">
        <f t="shared" si="1"/>
        <v>30.585864479200001</v>
      </c>
      <c r="O81" s="6">
        <v>0</v>
      </c>
      <c r="P81" s="347">
        <v>18</v>
      </c>
      <c r="Q81" s="405">
        <v>0</v>
      </c>
      <c r="R81" s="405">
        <v>0.9</v>
      </c>
      <c r="S81" s="405">
        <v>18.899999999999999</v>
      </c>
      <c r="T81" s="45">
        <v>4.4000000000000004</v>
      </c>
      <c r="U81" s="25">
        <v>6.4</v>
      </c>
    </row>
    <row r="82" spans="1:21" s="366" customFormat="1" x14ac:dyDescent="0.25">
      <c r="A82" s="365" t="s">
        <v>52</v>
      </c>
      <c r="B82" s="359" t="s">
        <v>59</v>
      </c>
      <c r="C82" s="360"/>
      <c r="D82" s="361">
        <v>1649.5</v>
      </c>
      <c r="E82" s="362"/>
      <c r="F82" s="362">
        <v>1235.3</v>
      </c>
      <c r="G82" s="362"/>
      <c r="H82" s="362">
        <v>136.80000000000001</v>
      </c>
      <c r="I82" s="364">
        <v>421.9</v>
      </c>
      <c r="J82" s="359">
        <v>178.9</v>
      </c>
      <c r="K82" s="359"/>
      <c r="L82" s="363">
        <v>112.3</v>
      </c>
      <c r="M82" s="359">
        <v>138</v>
      </c>
      <c r="N82" s="364">
        <f t="shared" si="1"/>
        <v>1375.4</v>
      </c>
      <c r="O82" s="364">
        <v>274.10000000000002</v>
      </c>
      <c r="P82" s="359">
        <v>409.8</v>
      </c>
      <c r="Q82" s="364">
        <v>137.5</v>
      </c>
      <c r="R82" s="364">
        <v>403.7</v>
      </c>
      <c r="S82" s="364">
        <v>572.4</v>
      </c>
      <c r="T82" s="364">
        <v>177.3</v>
      </c>
      <c r="U82" s="364">
        <v>351.5</v>
      </c>
    </row>
    <row r="83" spans="1:21" ht="50.25" customHeight="1" x14ac:dyDescent="0.25">
      <c r="A83" s="325"/>
      <c r="B83" s="24"/>
      <c r="C83" s="326"/>
      <c r="D83" s="344"/>
      <c r="E83" s="334"/>
      <c r="F83" s="341"/>
      <c r="G83" s="334"/>
      <c r="H83" s="341"/>
      <c r="I83" s="25"/>
      <c r="J83" s="24"/>
      <c r="K83" s="178"/>
      <c r="L83" s="56"/>
      <c r="N83" s="25"/>
      <c r="O83" s="25"/>
      <c r="P83" s="24"/>
      <c r="Q83" s="25"/>
      <c r="R83" s="25"/>
      <c r="S83" s="25"/>
      <c r="T83" s="25"/>
      <c r="U83" s="25"/>
    </row>
    <row r="84" spans="1:21" ht="50.25" customHeight="1" x14ac:dyDescent="0.25">
      <c r="A84" s="325"/>
      <c r="B84" s="24"/>
      <c r="C84" s="326"/>
      <c r="D84" s="344"/>
      <c r="E84" s="334"/>
      <c r="F84" s="341"/>
      <c r="G84" s="334"/>
      <c r="H84" s="341"/>
      <c r="I84" s="25"/>
      <c r="J84" s="24"/>
      <c r="K84" s="178"/>
      <c r="L84" s="56"/>
      <c r="N84" s="25"/>
      <c r="O84" s="25"/>
      <c r="P84" s="24"/>
      <c r="Q84" s="25"/>
      <c r="R84" s="25"/>
      <c r="S84" s="25"/>
      <c r="T84" s="25"/>
      <c r="U84" s="25"/>
    </row>
    <row r="85" spans="1:21" x14ac:dyDescent="0.25">
      <c r="A85" s="317">
        <v>4395</v>
      </c>
      <c r="B85" s="318" t="s">
        <v>32</v>
      </c>
      <c r="C85" s="319" t="s">
        <v>33</v>
      </c>
      <c r="D85" s="343">
        <v>11.084172716099999</v>
      </c>
      <c r="E85" s="333" t="s">
        <v>223</v>
      </c>
      <c r="F85" s="339">
        <v>11.1</v>
      </c>
      <c r="G85" s="333" t="s">
        <v>322</v>
      </c>
      <c r="H85" s="339">
        <v>0</v>
      </c>
      <c r="I85" s="374">
        <v>6.6</v>
      </c>
      <c r="J85" s="119"/>
      <c r="K85" s="320"/>
      <c r="L85" s="337"/>
      <c r="M85" s="367"/>
      <c r="N85" s="6">
        <f t="shared" si="1"/>
        <v>11.084172716099999</v>
      </c>
      <c r="O85" s="6"/>
      <c r="P85" s="347">
        <v>4.5</v>
      </c>
      <c r="Q85" s="405">
        <v>0</v>
      </c>
      <c r="R85" s="405">
        <v>0</v>
      </c>
      <c r="S85" s="405">
        <v>0</v>
      </c>
      <c r="T85" s="45">
        <v>5.3</v>
      </c>
      <c r="U85" s="25">
        <v>5.7</v>
      </c>
    </row>
    <row r="86" spans="1:21" x14ac:dyDescent="0.25">
      <c r="A86" s="317">
        <v>4484</v>
      </c>
      <c r="B86" s="318" t="s">
        <v>32</v>
      </c>
      <c r="C86" s="319" t="s">
        <v>41</v>
      </c>
      <c r="D86" s="343">
        <v>9.2733614047700001</v>
      </c>
      <c r="E86" s="333" t="s">
        <v>223</v>
      </c>
      <c r="F86" s="339">
        <v>9.3000000000000007</v>
      </c>
      <c r="G86" s="333"/>
      <c r="H86" s="339"/>
      <c r="I86" s="374">
        <v>0</v>
      </c>
      <c r="J86" s="119"/>
      <c r="K86" s="320"/>
      <c r="L86" s="337"/>
      <c r="M86" s="367"/>
      <c r="N86" s="6">
        <f t="shared" si="1"/>
        <v>7.9733614047700003</v>
      </c>
      <c r="O86" s="6">
        <v>1.3</v>
      </c>
      <c r="P86" s="347"/>
      <c r="Q86" s="405">
        <v>0</v>
      </c>
      <c r="R86" s="405">
        <v>0</v>
      </c>
      <c r="S86" s="405">
        <v>9.3000000000000007</v>
      </c>
      <c r="T86" s="45">
        <v>0</v>
      </c>
      <c r="U86" s="25">
        <v>0</v>
      </c>
    </row>
    <row r="87" spans="1:21" x14ac:dyDescent="0.25">
      <c r="A87" s="317">
        <v>4485</v>
      </c>
      <c r="B87" s="318" t="s">
        <v>32</v>
      </c>
      <c r="C87" s="319" t="s">
        <v>41</v>
      </c>
      <c r="D87" s="343">
        <v>44.937652466499998</v>
      </c>
      <c r="E87" s="333"/>
      <c r="F87" s="339"/>
      <c r="G87" s="333"/>
      <c r="H87" s="339"/>
      <c r="I87" s="374">
        <v>0</v>
      </c>
      <c r="J87" s="119"/>
      <c r="K87" s="320" t="s">
        <v>36</v>
      </c>
      <c r="L87" s="337">
        <v>44.9</v>
      </c>
      <c r="M87" s="367"/>
      <c r="N87" s="6">
        <f t="shared" si="1"/>
        <v>3.7652466499999093E-2</v>
      </c>
      <c r="O87" s="6">
        <v>44.9</v>
      </c>
      <c r="P87" s="347">
        <v>22.1</v>
      </c>
      <c r="Q87" s="405">
        <v>0</v>
      </c>
      <c r="R87" s="405">
        <v>0</v>
      </c>
      <c r="S87" s="405">
        <v>0</v>
      </c>
      <c r="T87" s="45">
        <v>0</v>
      </c>
      <c r="U87" s="25">
        <v>44.9</v>
      </c>
    </row>
    <row r="88" spans="1:21" x14ac:dyDescent="0.25">
      <c r="A88" s="317">
        <v>4486</v>
      </c>
      <c r="B88" s="318" t="s">
        <v>32</v>
      </c>
      <c r="C88" s="319" t="s">
        <v>41</v>
      </c>
      <c r="D88" s="343">
        <v>24.756341091700001</v>
      </c>
      <c r="E88" s="333" t="s">
        <v>229</v>
      </c>
      <c r="F88" s="339">
        <v>24.8</v>
      </c>
      <c r="G88" s="333"/>
      <c r="H88" s="339"/>
      <c r="I88" s="374">
        <v>0</v>
      </c>
      <c r="J88" s="119"/>
      <c r="K88" s="320"/>
      <c r="L88" s="337"/>
      <c r="M88" s="367"/>
      <c r="N88" s="6">
        <f t="shared" si="1"/>
        <v>24.756341091700001</v>
      </c>
      <c r="O88" s="6"/>
      <c r="P88" s="347"/>
      <c r="Q88" s="405">
        <v>0</v>
      </c>
      <c r="R88" s="405">
        <v>0</v>
      </c>
      <c r="S88" s="405">
        <v>0</v>
      </c>
      <c r="T88" s="45">
        <v>0</v>
      </c>
      <c r="U88" s="25">
        <v>24.8</v>
      </c>
    </row>
    <row r="89" spans="1:21" x14ac:dyDescent="0.25">
      <c r="A89" s="317">
        <v>4487</v>
      </c>
      <c r="B89" s="318" t="s">
        <v>32</v>
      </c>
      <c r="C89" s="319" t="s">
        <v>41</v>
      </c>
      <c r="D89" s="343">
        <v>20.604908144300001</v>
      </c>
      <c r="E89" s="333" t="s">
        <v>229</v>
      </c>
      <c r="F89" s="339">
        <v>20.6</v>
      </c>
      <c r="G89" s="333"/>
      <c r="H89" s="339"/>
      <c r="I89" s="374">
        <v>0</v>
      </c>
      <c r="J89" s="119"/>
      <c r="K89" s="320"/>
      <c r="L89" s="337"/>
      <c r="M89" s="367"/>
      <c r="N89" s="6">
        <f t="shared" si="1"/>
        <v>20.604908144300001</v>
      </c>
      <c r="O89" s="6"/>
      <c r="P89" s="347"/>
      <c r="Q89" s="405">
        <v>0</v>
      </c>
      <c r="R89" s="405">
        <v>0</v>
      </c>
      <c r="S89" s="405">
        <v>0</v>
      </c>
      <c r="T89" s="45">
        <v>0</v>
      </c>
      <c r="U89" s="25">
        <v>20.6</v>
      </c>
    </row>
    <row r="90" spans="1:21" x14ac:dyDescent="0.25">
      <c r="A90" s="317">
        <v>4488</v>
      </c>
      <c r="B90" s="318" t="s">
        <v>32</v>
      </c>
      <c r="C90" s="319" t="s">
        <v>41</v>
      </c>
      <c r="D90" s="343">
        <v>35.6202593513</v>
      </c>
      <c r="E90" s="333"/>
      <c r="F90" s="339"/>
      <c r="G90" s="333"/>
      <c r="H90" s="339"/>
      <c r="I90" s="374">
        <v>0</v>
      </c>
      <c r="J90" s="119"/>
      <c r="K90" s="320" t="s">
        <v>36</v>
      </c>
      <c r="L90" s="337">
        <v>35.6</v>
      </c>
      <c r="M90" s="367"/>
      <c r="N90" s="6">
        <f t="shared" si="1"/>
        <v>2.0259351299998229E-2</v>
      </c>
      <c r="O90" s="6">
        <v>35.6</v>
      </c>
      <c r="P90" s="347"/>
      <c r="Q90" s="405">
        <v>0</v>
      </c>
      <c r="R90" s="405">
        <v>0</v>
      </c>
      <c r="S90" s="405">
        <v>0</v>
      </c>
      <c r="T90" s="45">
        <v>0</v>
      </c>
      <c r="U90" s="25">
        <v>35.6</v>
      </c>
    </row>
    <row r="91" spans="1:21" s="366" customFormat="1" x14ac:dyDescent="0.25">
      <c r="A91" s="365" t="s">
        <v>52</v>
      </c>
      <c r="B91" s="359" t="s">
        <v>32</v>
      </c>
      <c r="C91" s="360"/>
      <c r="D91" s="361">
        <v>146.30000000000001</v>
      </c>
      <c r="E91" s="362"/>
      <c r="F91" s="362">
        <v>65.8</v>
      </c>
      <c r="G91" s="362"/>
      <c r="H91" s="362">
        <v>0</v>
      </c>
      <c r="I91" s="364">
        <v>6.6</v>
      </c>
      <c r="J91" s="359">
        <v>0</v>
      </c>
      <c r="K91" s="359"/>
      <c r="L91" s="363">
        <v>80.5</v>
      </c>
      <c r="M91" s="359"/>
      <c r="N91" s="364">
        <v>64.5</v>
      </c>
      <c r="O91" s="364">
        <v>81.8</v>
      </c>
      <c r="P91" s="359">
        <v>26.6</v>
      </c>
      <c r="Q91" s="364">
        <v>0</v>
      </c>
      <c r="R91" s="364">
        <v>0</v>
      </c>
      <c r="S91" s="364">
        <v>9.3000000000000007</v>
      </c>
      <c r="T91" s="364">
        <v>5.3</v>
      </c>
      <c r="U91" s="364">
        <v>131.6</v>
      </c>
    </row>
    <row r="92" spans="1:21" ht="36" customHeight="1" x14ac:dyDescent="0.25">
      <c r="A92" s="325"/>
      <c r="B92" s="24"/>
      <c r="C92" s="326"/>
      <c r="D92" s="344"/>
      <c r="E92" s="334"/>
      <c r="F92" s="341"/>
      <c r="G92" s="334"/>
      <c r="H92" s="341"/>
      <c r="I92" s="25"/>
      <c r="J92" s="24"/>
      <c r="K92" s="178"/>
      <c r="L92" s="56"/>
      <c r="N92" s="25"/>
      <c r="O92" s="25"/>
      <c r="P92" s="24"/>
      <c r="Q92" s="25"/>
      <c r="R92" s="25"/>
      <c r="S92" s="25"/>
      <c r="T92" s="25"/>
      <c r="U92" s="25"/>
    </row>
    <row r="93" spans="1:21" ht="43.5" customHeight="1" x14ac:dyDescent="0.25">
      <c r="A93" s="325"/>
      <c r="B93" s="24"/>
      <c r="C93" s="326"/>
      <c r="D93" s="344"/>
      <c r="E93" s="334"/>
      <c r="F93" s="341"/>
      <c r="G93" s="334"/>
      <c r="H93" s="341"/>
      <c r="I93" s="25"/>
      <c r="J93" s="24"/>
      <c r="K93" s="178"/>
      <c r="L93" s="56"/>
      <c r="N93" s="25"/>
      <c r="O93" s="25"/>
      <c r="P93" s="24"/>
      <c r="Q93" s="25"/>
      <c r="R93" s="25"/>
      <c r="S93" s="25"/>
      <c r="T93" s="25"/>
      <c r="U93" s="25"/>
    </row>
    <row r="94" spans="1:21" x14ac:dyDescent="0.25">
      <c r="A94" s="327">
        <v>4499</v>
      </c>
      <c r="B94" s="328" t="s">
        <v>131</v>
      </c>
      <c r="C94" s="329" t="s">
        <v>33</v>
      </c>
      <c r="D94" s="345">
        <v>13.8505397408</v>
      </c>
      <c r="E94" s="332" t="s">
        <v>314</v>
      </c>
      <c r="F94" s="342">
        <v>13.9</v>
      </c>
      <c r="G94" s="332" t="s">
        <v>224</v>
      </c>
      <c r="H94" s="342">
        <v>0</v>
      </c>
      <c r="I94" s="375"/>
      <c r="J94" s="370"/>
      <c r="K94" s="330"/>
      <c r="L94" s="338"/>
      <c r="M94" s="368"/>
      <c r="N94" s="6">
        <f t="shared" si="1"/>
        <v>13.8505397408</v>
      </c>
      <c r="O94" s="336"/>
      <c r="P94" s="348"/>
      <c r="Q94" s="406">
        <v>0</v>
      </c>
      <c r="R94" s="406">
        <v>0</v>
      </c>
      <c r="S94" s="406">
        <v>5.0999999999999996</v>
      </c>
      <c r="T94" s="407">
        <v>7.3</v>
      </c>
      <c r="U94" s="408">
        <v>1.5</v>
      </c>
    </row>
    <row r="95" spans="1:21" s="366" customFormat="1" x14ac:dyDescent="0.25">
      <c r="A95" s="365" t="s">
        <v>52</v>
      </c>
      <c r="B95" s="359" t="s">
        <v>131</v>
      </c>
      <c r="C95" s="360"/>
      <c r="D95" s="361">
        <v>13.9</v>
      </c>
      <c r="E95" s="362"/>
      <c r="F95" s="362">
        <v>13.9</v>
      </c>
      <c r="G95" s="362"/>
      <c r="H95" s="362">
        <v>0</v>
      </c>
      <c r="I95" s="364">
        <v>0</v>
      </c>
      <c r="J95" s="359">
        <v>0</v>
      </c>
      <c r="K95" s="359"/>
      <c r="L95" s="363">
        <v>0</v>
      </c>
      <c r="M95" s="359">
        <v>0</v>
      </c>
      <c r="N95" s="364">
        <v>0</v>
      </c>
      <c r="O95" s="364">
        <v>0</v>
      </c>
      <c r="P95" s="359">
        <v>0</v>
      </c>
      <c r="Q95" s="364">
        <v>0</v>
      </c>
      <c r="R95" s="364">
        <v>0</v>
      </c>
      <c r="S95" s="364">
        <v>5.0999999999999996</v>
      </c>
      <c r="T95" s="364">
        <v>7.3</v>
      </c>
      <c r="U95" s="364">
        <v>1.5</v>
      </c>
    </row>
    <row r="96" spans="1:21" x14ac:dyDescent="0.25">
      <c r="A96" s="324"/>
      <c r="B96" s="19"/>
      <c r="C96" s="331"/>
      <c r="D96" s="346"/>
      <c r="M96" s="19"/>
      <c r="U96" s="96"/>
    </row>
    <row r="97" spans="1:21" x14ac:dyDescent="0.25">
      <c r="A97" s="324"/>
      <c r="B97" s="19"/>
      <c r="C97" s="331"/>
      <c r="D97" s="346"/>
      <c r="M97" s="19"/>
      <c r="U97" s="96"/>
    </row>
    <row r="98" spans="1:21" x14ac:dyDescent="0.25">
      <c r="A98" s="324"/>
      <c r="B98" s="19"/>
      <c r="C98" s="331"/>
      <c r="D98" s="346"/>
      <c r="M98" s="19"/>
      <c r="U98" s="96"/>
    </row>
    <row r="99" spans="1:21" x14ac:dyDescent="0.25">
      <c r="A99" s="324"/>
      <c r="B99" s="19"/>
      <c r="C99" s="331"/>
      <c r="D99" s="346"/>
      <c r="M99" s="19"/>
      <c r="U99" s="96"/>
    </row>
    <row r="100" spans="1:21" x14ac:dyDescent="0.25">
      <c r="A100" s="324"/>
      <c r="B100" s="19"/>
      <c r="C100" s="331"/>
      <c r="D100" s="346"/>
      <c r="M100" s="19"/>
      <c r="U100" s="96"/>
    </row>
    <row r="101" spans="1:21" x14ac:dyDescent="0.25">
      <c r="A101" s="324"/>
      <c r="B101" s="19"/>
      <c r="C101" s="331"/>
      <c r="D101" s="346"/>
      <c r="M101" s="19"/>
      <c r="U101" s="96"/>
    </row>
    <row r="102" spans="1:21" x14ac:dyDescent="0.25">
      <c r="A102" s="324"/>
      <c r="B102" s="19"/>
      <c r="C102" s="331"/>
      <c r="D102" s="346"/>
      <c r="M102" s="19"/>
      <c r="U102" s="96"/>
    </row>
    <row r="103" spans="1:21" x14ac:dyDescent="0.25">
      <c r="A103" s="324"/>
      <c r="B103" s="19"/>
      <c r="C103" s="331"/>
      <c r="D103" s="346"/>
      <c r="M103" s="19"/>
      <c r="U103" s="96"/>
    </row>
    <row r="104" spans="1:21" x14ac:dyDescent="0.25">
      <c r="A104" s="324"/>
      <c r="B104" s="19"/>
      <c r="C104" s="331"/>
      <c r="D104" s="346"/>
      <c r="M104" s="19"/>
      <c r="U104" s="96"/>
    </row>
    <row r="105" spans="1:21" x14ac:dyDescent="0.25">
      <c r="A105" s="324"/>
      <c r="B105" s="19"/>
      <c r="C105" s="331"/>
      <c r="D105" s="346"/>
      <c r="M105" s="19"/>
      <c r="U105" s="96"/>
    </row>
    <row r="106" spans="1:21" x14ac:dyDescent="0.25">
      <c r="A106" s="324"/>
      <c r="B106" s="19"/>
      <c r="C106" s="331"/>
      <c r="D106" s="346"/>
      <c r="M106" s="19"/>
      <c r="U106" s="96"/>
    </row>
    <row r="107" spans="1:21" x14ac:dyDescent="0.25">
      <c r="A107" s="324"/>
      <c r="B107" s="19"/>
      <c r="C107" s="331"/>
      <c r="D107" s="346"/>
      <c r="M107" s="19"/>
      <c r="U107" s="96"/>
    </row>
    <row r="108" spans="1:21" x14ac:dyDescent="0.25">
      <c r="A108" s="324"/>
      <c r="B108" s="19"/>
      <c r="C108" s="331"/>
      <c r="D108" s="346"/>
      <c r="M108" s="19"/>
      <c r="U108" s="96"/>
    </row>
    <row r="109" spans="1:21" x14ac:dyDescent="0.25">
      <c r="A109" s="324"/>
      <c r="B109" s="19"/>
      <c r="C109" s="331"/>
      <c r="D109" s="346"/>
      <c r="M109" s="19"/>
      <c r="U109" s="96"/>
    </row>
    <row r="110" spans="1:21" x14ac:dyDescent="0.25">
      <c r="A110" s="324"/>
      <c r="B110" s="19"/>
      <c r="C110" s="331"/>
      <c r="D110" s="346"/>
      <c r="M110" s="19"/>
      <c r="U110" s="96"/>
    </row>
    <row r="111" spans="1:21" x14ac:dyDescent="0.25">
      <c r="A111" s="324"/>
      <c r="B111" s="19"/>
      <c r="C111" s="331"/>
      <c r="D111" s="346"/>
      <c r="M111" s="19"/>
      <c r="U111" s="96"/>
    </row>
    <row r="112" spans="1:21" x14ac:dyDescent="0.25">
      <c r="A112" s="324"/>
      <c r="B112" s="19"/>
      <c r="C112" s="331"/>
      <c r="D112" s="346"/>
      <c r="M112" s="19"/>
      <c r="U112" s="96"/>
    </row>
    <row r="113" spans="1:21" x14ac:dyDescent="0.25">
      <c r="A113" s="324"/>
      <c r="B113" s="19"/>
      <c r="C113" s="331"/>
      <c r="D113" s="346"/>
      <c r="M113" s="19"/>
      <c r="U113" s="96"/>
    </row>
    <row r="114" spans="1:21" x14ac:dyDescent="0.25">
      <c r="A114" s="324"/>
      <c r="B114" s="19"/>
      <c r="C114" s="331"/>
      <c r="D114" s="346"/>
      <c r="M114" s="19"/>
      <c r="U114" s="96"/>
    </row>
    <row r="115" spans="1:21" x14ac:dyDescent="0.25">
      <c r="A115" s="324"/>
      <c r="B115" s="19"/>
      <c r="C115" s="331"/>
      <c r="D115" s="346"/>
      <c r="M115" s="19"/>
      <c r="U115" s="96"/>
    </row>
    <row r="116" spans="1:21" x14ac:dyDescent="0.25">
      <c r="A116" s="324"/>
      <c r="B116" s="19"/>
      <c r="C116" s="331"/>
      <c r="D116" s="346"/>
      <c r="M116" s="19"/>
      <c r="U116" s="96"/>
    </row>
    <row r="117" spans="1:21" x14ac:dyDescent="0.25">
      <c r="A117" s="324"/>
      <c r="B117" s="19"/>
      <c r="C117" s="331"/>
      <c r="D117" s="346"/>
      <c r="M117" s="19"/>
      <c r="U117" s="96"/>
    </row>
    <row r="118" spans="1:21" x14ac:dyDescent="0.25">
      <c r="A118" s="324"/>
      <c r="B118" s="19"/>
      <c r="C118" s="331"/>
      <c r="D118" s="346"/>
      <c r="M118" s="19"/>
      <c r="U118" s="96"/>
    </row>
    <row r="119" spans="1:21" x14ac:dyDescent="0.25">
      <c r="A119" s="324"/>
      <c r="B119" s="19"/>
      <c r="C119" s="331"/>
      <c r="D119" s="346"/>
      <c r="M119" s="19"/>
      <c r="U119" s="96"/>
    </row>
    <row r="120" spans="1:21" x14ac:dyDescent="0.25">
      <c r="A120" s="324"/>
      <c r="B120" s="19"/>
      <c r="C120" s="331"/>
      <c r="D120" s="346"/>
      <c r="M120" s="19"/>
      <c r="U120" s="96"/>
    </row>
    <row r="121" spans="1:21" x14ac:dyDescent="0.25">
      <c r="A121" s="324"/>
      <c r="B121" s="19"/>
      <c r="C121" s="331"/>
      <c r="D121" s="346"/>
      <c r="M121" s="19"/>
      <c r="U121" s="96"/>
    </row>
    <row r="122" spans="1:21" x14ac:dyDescent="0.25">
      <c r="A122" s="324"/>
      <c r="B122" s="19"/>
      <c r="C122" s="331"/>
      <c r="D122" s="346"/>
      <c r="M122" s="19"/>
      <c r="U122" s="96"/>
    </row>
    <row r="123" spans="1:21" x14ac:dyDescent="0.25">
      <c r="A123" s="324"/>
      <c r="B123" s="19"/>
      <c r="C123" s="331"/>
      <c r="D123" s="346"/>
      <c r="M123" s="19"/>
      <c r="U123" s="96"/>
    </row>
    <row r="124" spans="1:21" x14ac:dyDescent="0.25">
      <c r="A124" s="324"/>
      <c r="B124" s="19"/>
      <c r="C124" s="331"/>
      <c r="D124" s="346"/>
      <c r="M124" s="19"/>
      <c r="U124" s="96"/>
    </row>
    <row r="125" spans="1:21" x14ac:dyDescent="0.25">
      <c r="A125" s="324"/>
      <c r="B125" s="19"/>
      <c r="C125" s="331"/>
      <c r="D125" s="346"/>
      <c r="M125" s="19"/>
      <c r="U125" s="96"/>
    </row>
    <row r="126" spans="1:21" x14ac:dyDescent="0.25">
      <c r="A126" s="324"/>
      <c r="B126" s="19"/>
      <c r="C126" s="331"/>
      <c r="D126" s="346"/>
      <c r="M126" s="19"/>
      <c r="U126" s="96"/>
    </row>
    <row r="127" spans="1:21" x14ac:dyDescent="0.25">
      <c r="A127" s="324"/>
      <c r="B127" s="19"/>
      <c r="C127" s="331"/>
      <c r="D127" s="346"/>
      <c r="M127" s="19"/>
      <c r="U127" s="96"/>
    </row>
    <row r="128" spans="1:21" x14ac:dyDescent="0.25">
      <c r="A128" s="324"/>
      <c r="B128" s="19"/>
      <c r="C128" s="331"/>
      <c r="D128" s="346"/>
      <c r="M128" s="19"/>
      <c r="U128" s="96"/>
    </row>
    <row r="129" spans="1:21" x14ac:dyDescent="0.25">
      <c r="A129" s="324"/>
      <c r="B129" s="19"/>
      <c r="C129" s="331"/>
      <c r="D129" s="346"/>
      <c r="M129" s="19"/>
      <c r="U129" s="96"/>
    </row>
    <row r="130" spans="1:21" x14ac:dyDescent="0.25">
      <c r="A130" s="324"/>
      <c r="B130" s="19"/>
      <c r="C130" s="331"/>
      <c r="D130" s="346"/>
      <c r="M130" s="19"/>
      <c r="U130" s="96"/>
    </row>
    <row r="131" spans="1:21" x14ac:dyDescent="0.25">
      <c r="A131" s="324"/>
      <c r="B131" s="19"/>
      <c r="C131" s="331"/>
      <c r="D131" s="346"/>
      <c r="M131" s="19"/>
      <c r="U131" s="96"/>
    </row>
    <row r="132" spans="1:21" x14ac:dyDescent="0.25">
      <c r="A132" s="324"/>
      <c r="B132" s="19"/>
      <c r="C132" s="331"/>
      <c r="D132" s="346"/>
      <c r="M132" s="19"/>
      <c r="U132" s="96"/>
    </row>
    <row r="133" spans="1:21" x14ac:dyDescent="0.25">
      <c r="A133" s="324"/>
      <c r="B133" s="19"/>
      <c r="C133" s="331"/>
      <c r="D133" s="346"/>
      <c r="M133" s="19"/>
      <c r="U133" s="96"/>
    </row>
    <row r="134" spans="1:21" x14ac:dyDescent="0.25">
      <c r="A134" s="324"/>
      <c r="B134" s="19"/>
      <c r="C134" s="331"/>
      <c r="D134" s="346"/>
      <c r="M134" s="19"/>
      <c r="U134" s="96"/>
    </row>
    <row r="135" spans="1:21" x14ac:dyDescent="0.25">
      <c r="A135" s="324"/>
      <c r="B135" s="19"/>
      <c r="C135" s="331"/>
      <c r="D135" s="346"/>
      <c r="M135" s="19"/>
      <c r="U135" s="96"/>
    </row>
    <row r="136" spans="1:21" x14ac:dyDescent="0.25">
      <c r="A136" s="324"/>
      <c r="B136" s="19"/>
      <c r="C136" s="331"/>
      <c r="D136" s="346"/>
      <c r="M136" s="19"/>
      <c r="U136" s="96"/>
    </row>
    <row r="137" spans="1:21" x14ac:dyDescent="0.25">
      <c r="A137" s="324"/>
      <c r="B137" s="19"/>
      <c r="C137" s="331"/>
      <c r="D137" s="346"/>
      <c r="M137" s="19"/>
      <c r="U137" s="96"/>
    </row>
    <row r="138" spans="1:21" x14ac:dyDescent="0.25">
      <c r="A138" s="324"/>
      <c r="B138" s="19"/>
      <c r="C138" s="331"/>
      <c r="D138" s="346"/>
      <c r="M138" s="19"/>
      <c r="U138" s="96"/>
    </row>
    <row r="139" spans="1:21" x14ac:dyDescent="0.25">
      <c r="A139" s="324"/>
      <c r="B139" s="19"/>
      <c r="C139" s="331"/>
      <c r="D139" s="346"/>
      <c r="M139" s="19"/>
      <c r="U139" s="96"/>
    </row>
    <row r="140" spans="1:21" x14ac:dyDescent="0.25">
      <c r="A140" s="324"/>
      <c r="B140" s="19"/>
      <c r="C140" s="331"/>
      <c r="D140" s="346"/>
      <c r="M140" s="19"/>
      <c r="U140" s="96"/>
    </row>
    <row r="141" spans="1:21" x14ac:dyDescent="0.25">
      <c r="A141" s="324"/>
      <c r="B141" s="19"/>
      <c r="C141" s="331"/>
      <c r="D141" s="346"/>
      <c r="M141" s="19"/>
      <c r="U141" s="96"/>
    </row>
    <row r="142" spans="1:21" x14ac:dyDescent="0.25">
      <c r="A142" s="324"/>
      <c r="B142" s="19"/>
      <c r="C142" s="331"/>
      <c r="D142" s="346"/>
      <c r="M142" s="19"/>
      <c r="U142" s="96"/>
    </row>
    <row r="143" spans="1:21" x14ac:dyDescent="0.25">
      <c r="A143" s="324"/>
      <c r="B143" s="19"/>
      <c r="C143" s="331"/>
      <c r="D143" s="346"/>
      <c r="M143" s="19"/>
      <c r="U143" s="96"/>
    </row>
    <row r="144" spans="1:21" x14ac:dyDescent="0.25">
      <c r="A144" s="324"/>
      <c r="B144" s="19"/>
      <c r="C144" s="331"/>
      <c r="D144" s="346"/>
      <c r="M144" s="19"/>
      <c r="U144" s="96"/>
    </row>
    <row r="145" spans="1:21" x14ac:dyDescent="0.25">
      <c r="A145" s="324"/>
      <c r="B145" s="19"/>
      <c r="C145" s="331"/>
      <c r="D145" s="346"/>
      <c r="M145" s="19"/>
      <c r="U145" s="96"/>
    </row>
    <row r="146" spans="1:21" x14ac:dyDescent="0.25">
      <c r="A146" s="324"/>
      <c r="B146" s="19"/>
      <c r="C146" s="331"/>
      <c r="D146" s="346"/>
      <c r="M146" s="19"/>
      <c r="U146" s="96"/>
    </row>
    <row r="147" spans="1:21" x14ac:dyDescent="0.25">
      <c r="A147" s="324"/>
      <c r="B147" s="19"/>
      <c r="C147" s="331"/>
      <c r="D147" s="346"/>
      <c r="M147" s="19"/>
      <c r="U147" s="96"/>
    </row>
    <row r="148" spans="1:21" x14ac:dyDescent="0.25">
      <c r="A148" s="324"/>
      <c r="B148" s="19"/>
      <c r="C148" s="331"/>
      <c r="D148" s="346"/>
      <c r="M148" s="19"/>
      <c r="U148" s="96"/>
    </row>
    <row r="149" spans="1:21" x14ac:dyDescent="0.25">
      <c r="A149" s="324"/>
      <c r="B149" s="19"/>
      <c r="C149" s="331"/>
      <c r="D149" s="346"/>
      <c r="M149" s="19"/>
      <c r="U149" s="96"/>
    </row>
    <row r="150" spans="1:21" x14ac:dyDescent="0.25">
      <c r="A150" s="324"/>
      <c r="B150" s="19"/>
      <c r="C150" s="331"/>
      <c r="D150" s="346"/>
      <c r="M150" s="19"/>
      <c r="U150" s="96"/>
    </row>
    <row r="151" spans="1:21" x14ac:dyDescent="0.25">
      <c r="A151" s="324"/>
      <c r="B151" s="19"/>
      <c r="C151" s="331"/>
      <c r="D151" s="346"/>
      <c r="M151" s="19"/>
      <c r="U151" s="96"/>
    </row>
    <row r="152" spans="1:21" x14ac:dyDescent="0.25">
      <c r="A152" s="324"/>
      <c r="B152" s="19"/>
      <c r="C152" s="331"/>
      <c r="D152" s="346"/>
      <c r="M152" s="19"/>
      <c r="U152" s="96"/>
    </row>
    <row r="153" spans="1:21" x14ac:dyDescent="0.25">
      <c r="A153" s="324"/>
      <c r="B153" s="19"/>
      <c r="C153" s="331"/>
      <c r="D153" s="346"/>
      <c r="M153" s="19"/>
      <c r="U153" s="96"/>
    </row>
    <row r="154" spans="1:21" x14ac:dyDescent="0.25">
      <c r="A154" s="324"/>
      <c r="B154" s="19"/>
      <c r="C154" s="331"/>
      <c r="D154" s="346"/>
      <c r="M154" s="19"/>
      <c r="U154" s="96"/>
    </row>
    <row r="155" spans="1:21" x14ac:dyDescent="0.25">
      <c r="A155" s="324"/>
      <c r="B155" s="19"/>
      <c r="C155" s="331"/>
      <c r="D155" s="346"/>
      <c r="M155" s="19"/>
      <c r="U155" s="96"/>
    </row>
    <row r="156" spans="1:21" x14ac:dyDescent="0.25">
      <c r="A156" s="324"/>
      <c r="B156" s="19"/>
      <c r="C156" s="331"/>
      <c r="D156" s="346"/>
      <c r="M156" s="19"/>
      <c r="U156" s="96"/>
    </row>
    <row r="157" spans="1:21" x14ac:dyDescent="0.25">
      <c r="A157" s="324"/>
      <c r="B157" s="19"/>
      <c r="C157" s="331"/>
      <c r="D157" s="346"/>
      <c r="M157" s="19"/>
      <c r="U157" s="96"/>
    </row>
    <row r="158" spans="1:21" x14ac:dyDescent="0.25">
      <c r="A158" s="324"/>
      <c r="B158" s="19"/>
      <c r="C158" s="331"/>
      <c r="D158" s="346"/>
      <c r="M158" s="19"/>
      <c r="U158" s="96"/>
    </row>
    <row r="159" spans="1:21" x14ac:dyDescent="0.25">
      <c r="A159" s="324"/>
      <c r="B159" s="19"/>
      <c r="C159" s="331"/>
      <c r="D159" s="346"/>
      <c r="M159" s="19"/>
      <c r="U159" s="96"/>
    </row>
    <row r="160" spans="1:21" x14ac:dyDescent="0.25">
      <c r="A160" s="324"/>
      <c r="B160" s="19"/>
      <c r="C160" s="331"/>
      <c r="D160" s="346"/>
      <c r="M160" s="19"/>
      <c r="U160" s="96"/>
    </row>
    <row r="161" spans="1:21" x14ac:dyDescent="0.25">
      <c r="A161" s="61"/>
      <c r="M161" s="19"/>
      <c r="U161" s="96"/>
    </row>
    <row r="162" spans="1:21" x14ac:dyDescent="0.25">
      <c r="M162" s="28"/>
    </row>
  </sheetData>
  <mergeCells count="6">
    <mergeCell ref="Q1:S1"/>
    <mergeCell ref="A1:D1"/>
    <mergeCell ref="E1:H1"/>
    <mergeCell ref="K1:L1"/>
    <mergeCell ref="N1:O1"/>
    <mergeCell ref="P1:P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-0.249977111117893"/>
  </sheetPr>
  <dimension ref="A1:EH153"/>
  <sheetViews>
    <sheetView workbookViewId="0">
      <selection activeCell="D133" sqref="C133:D133"/>
    </sheetView>
  </sheetViews>
  <sheetFormatPr defaultRowHeight="15" x14ac:dyDescent="0.25"/>
  <cols>
    <col min="2" max="2" width="9.140625" style="19"/>
    <col min="3" max="3" width="31.42578125" customWidth="1"/>
    <col min="4" max="4" width="14.42578125" customWidth="1"/>
    <col min="5" max="5" width="9.140625" style="19"/>
    <col min="9" max="9" width="23.85546875" customWidth="1"/>
    <col min="11" max="11" width="27.42578125" style="19" customWidth="1"/>
    <col min="12" max="12" width="9.140625" style="96"/>
  </cols>
  <sheetData>
    <row r="1" spans="1:14" ht="19.5" thickBot="1" x14ac:dyDescent="0.35">
      <c r="A1" s="352"/>
      <c r="B1" s="352"/>
      <c r="C1" s="352"/>
      <c r="D1" s="390" t="s">
        <v>448</v>
      </c>
      <c r="E1" s="352"/>
      <c r="G1" s="19"/>
      <c r="H1" s="19"/>
      <c r="I1" s="40"/>
      <c r="J1" s="19"/>
    </row>
    <row r="2" spans="1:14" x14ac:dyDescent="0.25">
      <c r="A2" s="391" t="s">
        <v>147</v>
      </c>
      <c r="B2" s="392"/>
      <c r="C2" s="393"/>
      <c r="D2" s="394"/>
      <c r="E2" s="395"/>
      <c r="F2" s="22"/>
      <c r="G2" s="377"/>
      <c r="H2" s="378"/>
      <c r="I2" s="379" t="s">
        <v>148</v>
      </c>
      <c r="J2" s="400"/>
      <c r="K2" s="39"/>
    </row>
    <row r="3" spans="1:14" x14ac:dyDescent="0.25">
      <c r="A3" s="380" t="s">
        <v>71</v>
      </c>
      <c r="B3" s="321" t="s">
        <v>11</v>
      </c>
      <c r="C3" s="322" t="s">
        <v>72</v>
      </c>
      <c r="D3" s="212" t="s">
        <v>73</v>
      </c>
      <c r="E3" s="381" t="s">
        <v>74</v>
      </c>
      <c r="G3" s="380" t="s">
        <v>71</v>
      </c>
      <c r="H3" s="321" t="s">
        <v>11</v>
      </c>
      <c r="I3" s="323" t="s">
        <v>75</v>
      </c>
      <c r="J3" s="381" t="s">
        <v>74</v>
      </c>
    </row>
    <row r="4" spans="1:14" x14ac:dyDescent="0.25">
      <c r="A4" s="382">
        <v>4056</v>
      </c>
      <c r="B4" s="24" t="s">
        <v>59</v>
      </c>
      <c r="C4" s="24" t="s">
        <v>323</v>
      </c>
      <c r="D4" s="353">
        <v>36475</v>
      </c>
      <c r="E4" s="396">
        <v>25.3</v>
      </c>
      <c r="G4" s="382">
        <v>4062</v>
      </c>
      <c r="H4" s="24" t="s">
        <v>59</v>
      </c>
      <c r="I4" s="24" t="s">
        <v>324</v>
      </c>
      <c r="J4" s="383">
        <v>0</v>
      </c>
      <c r="N4" t="s">
        <v>325</v>
      </c>
    </row>
    <row r="5" spans="1:14" x14ac:dyDescent="0.25">
      <c r="A5" s="382">
        <v>4056</v>
      </c>
      <c r="B5" s="24" t="s">
        <v>59</v>
      </c>
      <c r="C5" s="24" t="s">
        <v>326</v>
      </c>
      <c r="D5" s="353">
        <v>36039</v>
      </c>
      <c r="E5" s="396">
        <v>19.600000000000001</v>
      </c>
      <c r="G5" s="382">
        <v>4063</v>
      </c>
      <c r="H5" s="24" t="s">
        <v>59</v>
      </c>
      <c r="I5" s="24" t="s">
        <v>327</v>
      </c>
      <c r="J5" s="383">
        <v>16.600000000000001</v>
      </c>
    </row>
    <row r="6" spans="1:14" x14ac:dyDescent="0.25">
      <c r="A6" s="382">
        <v>4056</v>
      </c>
      <c r="B6" s="24" t="s">
        <v>59</v>
      </c>
      <c r="C6" s="24" t="s">
        <v>328</v>
      </c>
      <c r="D6" s="353">
        <v>43101</v>
      </c>
      <c r="E6" s="396">
        <v>1</v>
      </c>
      <c r="G6" s="382">
        <v>4065</v>
      </c>
      <c r="H6" s="24" t="s">
        <v>59</v>
      </c>
      <c r="I6" s="24" t="s">
        <v>329</v>
      </c>
      <c r="J6" s="383">
        <v>0.8</v>
      </c>
      <c r="N6" t="s">
        <v>330</v>
      </c>
    </row>
    <row r="7" spans="1:14" x14ac:dyDescent="0.25">
      <c r="A7" s="382">
        <v>4056</v>
      </c>
      <c r="B7" s="24" t="s">
        <v>59</v>
      </c>
      <c r="C7" s="24" t="s">
        <v>323</v>
      </c>
      <c r="D7" s="353">
        <v>36475</v>
      </c>
      <c r="E7" s="396">
        <v>3.9</v>
      </c>
      <c r="G7" s="382">
        <v>4066</v>
      </c>
      <c r="H7" s="24" t="s">
        <v>59</v>
      </c>
      <c r="I7" s="24" t="s">
        <v>331</v>
      </c>
      <c r="J7" s="383">
        <v>0.6</v>
      </c>
      <c r="N7" t="s">
        <v>332</v>
      </c>
    </row>
    <row r="8" spans="1:14" x14ac:dyDescent="0.25">
      <c r="A8" s="382">
        <v>4056</v>
      </c>
      <c r="B8" s="24" t="s">
        <v>59</v>
      </c>
      <c r="C8" s="24" t="s">
        <v>328</v>
      </c>
      <c r="D8" s="353">
        <v>43101</v>
      </c>
      <c r="E8" s="396">
        <v>3.9</v>
      </c>
      <c r="G8" s="382">
        <v>4090</v>
      </c>
      <c r="H8" s="24" t="s">
        <v>59</v>
      </c>
      <c r="I8" s="24" t="s">
        <v>333</v>
      </c>
      <c r="J8" s="383">
        <v>0.1</v>
      </c>
    </row>
    <row r="9" spans="1:14" x14ac:dyDescent="0.25">
      <c r="A9" s="382">
        <v>4056</v>
      </c>
      <c r="B9" s="24" t="s">
        <v>59</v>
      </c>
      <c r="C9" s="24" t="s">
        <v>326</v>
      </c>
      <c r="D9" s="353">
        <v>36039</v>
      </c>
      <c r="E9" s="396">
        <v>6.3</v>
      </c>
      <c r="G9" s="382">
        <v>4109</v>
      </c>
      <c r="H9" s="24" t="s">
        <v>59</v>
      </c>
      <c r="I9" s="24" t="s">
        <v>334</v>
      </c>
      <c r="J9" s="383">
        <v>5.3</v>
      </c>
    </row>
    <row r="10" spans="1:14" x14ac:dyDescent="0.25">
      <c r="A10" s="382">
        <v>4056</v>
      </c>
      <c r="B10" s="24" t="s">
        <v>59</v>
      </c>
      <c r="C10" s="24" t="s">
        <v>328</v>
      </c>
      <c r="D10" s="353">
        <v>43101</v>
      </c>
      <c r="E10" s="396">
        <v>6.3</v>
      </c>
      <c r="G10" s="382">
        <v>4111</v>
      </c>
      <c r="H10" s="24" t="s">
        <v>59</v>
      </c>
      <c r="I10" s="24" t="s">
        <v>335</v>
      </c>
      <c r="J10" s="383">
        <v>0.9</v>
      </c>
      <c r="N10" t="s">
        <v>336</v>
      </c>
    </row>
    <row r="11" spans="1:14" x14ac:dyDescent="0.25">
      <c r="A11" s="384"/>
      <c r="E11" s="397">
        <v>66.3</v>
      </c>
      <c r="G11" s="382">
        <v>4111</v>
      </c>
      <c r="H11" s="24" t="s">
        <v>59</v>
      </c>
      <c r="I11" s="24" t="s">
        <v>334</v>
      </c>
      <c r="J11" s="383">
        <v>0.2</v>
      </c>
    </row>
    <row r="12" spans="1:14" x14ac:dyDescent="0.25">
      <c r="A12" s="382">
        <v>4058</v>
      </c>
      <c r="B12" s="24" t="s">
        <v>59</v>
      </c>
      <c r="C12" s="24" t="s">
        <v>337</v>
      </c>
      <c r="D12" s="353">
        <v>26816</v>
      </c>
      <c r="E12" s="398">
        <v>4.4000000000000004</v>
      </c>
      <c r="G12" s="384"/>
      <c r="I12" s="19"/>
      <c r="J12" s="385">
        <v>1.1000000000000001</v>
      </c>
    </row>
    <row r="13" spans="1:14" x14ac:dyDescent="0.25">
      <c r="A13" s="382">
        <v>4060</v>
      </c>
      <c r="B13" s="24" t="s">
        <v>59</v>
      </c>
      <c r="C13" s="24" t="s">
        <v>338</v>
      </c>
      <c r="D13" s="353">
        <v>28642</v>
      </c>
      <c r="E13" s="398">
        <v>9.3000000000000007</v>
      </c>
      <c r="G13" s="382">
        <v>4112</v>
      </c>
      <c r="H13" s="24" t="s">
        <v>59</v>
      </c>
      <c r="I13" s="24" t="s">
        <v>335</v>
      </c>
      <c r="J13" s="383">
        <v>0.5</v>
      </c>
    </row>
    <row r="14" spans="1:14" x14ac:dyDescent="0.25">
      <c r="A14" s="382">
        <v>4061</v>
      </c>
      <c r="B14" s="24" t="s">
        <v>59</v>
      </c>
      <c r="C14" s="24" t="s">
        <v>339</v>
      </c>
      <c r="D14" s="353">
        <v>37408</v>
      </c>
      <c r="E14" s="396">
        <v>2.6</v>
      </c>
      <c r="G14" s="382">
        <v>4211</v>
      </c>
      <c r="H14" s="24" t="s">
        <v>59</v>
      </c>
      <c r="I14" s="24" t="s">
        <v>340</v>
      </c>
      <c r="J14" s="386">
        <v>33</v>
      </c>
    </row>
    <row r="15" spans="1:14" x14ac:dyDescent="0.25">
      <c r="A15" s="382">
        <v>4061</v>
      </c>
      <c r="B15" s="24" t="s">
        <v>59</v>
      </c>
      <c r="C15" s="24" t="s">
        <v>341</v>
      </c>
      <c r="D15" s="353">
        <v>38127</v>
      </c>
      <c r="E15" s="396">
        <v>0.4</v>
      </c>
      <c r="G15" s="382">
        <v>4211</v>
      </c>
      <c r="H15" s="24" t="s">
        <v>59</v>
      </c>
      <c r="I15" s="24" t="s">
        <v>342</v>
      </c>
      <c r="J15" s="386">
        <v>0</v>
      </c>
    </row>
    <row r="16" spans="1:14" x14ac:dyDescent="0.25">
      <c r="A16" s="384"/>
      <c r="E16" s="397">
        <v>3</v>
      </c>
      <c r="G16" s="382">
        <v>4211</v>
      </c>
      <c r="H16" s="24" t="s">
        <v>59</v>
      </c>
      <c r="I16" s="24" t="s">
        <v>343</v>
      </c>
      <c r="J16" s="386">
        <v>2.7</v>
      </c>
    </row>
    <row r="17" spans="1:13" x14ac:dyDescent="0.25">
      <c r="A17" s="382">
        <v>4065</v>
      </c>
      <c r="B17" s="24" t="s">
        <v>59</v>
      </c>
      <c r="C17" s="21" t="s">
        <v>329</v>
      </c>
      <c r="D17" s="482">
        <v>43857</v>
      </c>
      <c r="E17" s="396">
        <v>0.8</v>
      </c>
      <c r="G17" s="382">
        <v>4211</v>
      </c>
      <c r="H17" s="24" t="s">
        <v>59</v>
      </c>
      <c r="I17" s="24" t="s">
        <v>340</v>
      </c>
      <c r="J17" s="386">
        <v>1</v>
      </c>
    </row>
    <row r="18" spans="1:13" x14ac:dyDescent="0.25">
      <c r="A18" s="382">
        <v>4065</v>
      </c>
      <c r="B18" s="24" t="s">
        <v>59</v>
      </c>
      <c r="C18" s="24" t="s">
        <v>344</v>
      </c>
      <c r="D18" s="353">
        <v>31564</v>
      </c>
      <c r="E18" s="396">
        <v>0.9</v>
      </c>
      <c r="G18" s="382">
        <v>4211</v>
      </c>
      <c r="H18" s="24" t="s">
        <v>59</v>
      </c>
      <c r="I18" s="24" t="s">
        <v>342</v>
      </c>
      <c r="J18" s="386">
        <v>1</v>
      </c>
    </row>
    <row r="19" spans="1:13" x14ac:dyDescent="0.25">
      <c r="A19" s="384"/>
      <c r="E19" s="397">
        <v>1.7</v>
      </c>
      <c r="G19" s="382">
        <v>4211</v>
      </c>
      <c r="H19" s="24" t="s">
        <v>59</v>
      </c>
      <c r="I19" s="24" t="s">
        <v>340</v>
      </c>
      <c r="J19" s="386">
        <v>0</v>
      </c>
    </row>
    <row r="20" spans="1:13" x14ac:dyDescent="0.25">
      <c r="A20" s="384"/>
      <c r="E20" s="399"/>
      <c r="G20" s="382">
        <v>4211</v>
      </c>
      <c r="H20" s="24" t="s">
        <v>59</v>
      </c>
      <c r="I20" s="24" t="s">
        <v>343</v>
      </c>
      <c r="J20" s="387">
        <v>0</v>
      </c>
    </row>
    <row r="21" spans="1:13" x14ac:dyDescent="0.25">
      <c r="A21" s="382">
        <v>4066</v>
      </c>
      <c r="B21" s="24" t="s">
        <v>59</v>
      </c>
      <c r="C21" s="24" t="s">
        <v>331</v>
      </c>
      <c r="D21" s="353">
        <v>43420</v>
      </c>
      <c r="E21" s="396">
        <v>0.6</v>
      </c>
      <c r="G21" s="384"/>
      <c r="I21" s="19"/>
      <c r="J21" s="385">
        <v>37.700000000000003</v>
      </c>
    </row>
    <row r="22" spans="1:13" x14ac:dyDescent="0.25">
      <c r="A22" s="382">
        <v>4066</v>
      </c>
      <c r="B22" s="24" t="s">
        <v>59</v>
      </c>
      <c r="C22" s="24" t="s">
        <v>345</v>
      </c>
      <c r="D22" s="353">
        <v>32295</v>
      </c>
      <c r="E22" s="396">
        <v>8.1</v>
      </c>
      <c r="G22" s="382">
        <v>4212</v>
      </c>
      <c r="H22" s="24" t="s">
        <v>59</v>
      </c>
      <c r="I22" s="24" t="s">
        <v>327</v>
      </c>
      <c r="J22" s="383">
        <v>65.099999999999994</v>
      </c>
    </row>
    <row r="23" spans="1:13" x14ac:dyDescent="0.25">
      <c r="A23" s="384"/>
      <c r="E23" s="397">
        <v>8.6999999999999993</v>
      </c>
      <c r="G23" s="382">
        <v>4213</v>
      </c>
      <c r="H23" s="24" t="s">
        <v>59</v>
      </c>
      <c r="I23" s="24" t="s">
        <v>343</v>
      </c>
      <c r="J23" s="383">
        <v>8.1999999999999993</v>
      </c>
    </row>
    <row r="24" spans="1:13" x14ac:dyDescent="0.25">
      <c r="A24" s="382">
        <v>4069</v>
      </c>
      <c r="B24" s="24" t="s">
        <v>59</v>
      </c>
      <c r="C24" s="24" t="s">
        <v>346</v>
      </c>
      <c r="D24" s="353">
        <v>37622</v>
      </c>
      <c r="E24" s="398">
        <v>4.8</v>
      </c>
      <c r="G24" s="382">
        <v>4214</v>
      </c>
      <c r="H24" s="24" t="s">
        <v>59</v>
      </c>
      <c r="I24" s="24" t="s">
        <v>347</v>
      </c>
      <c r="J24" s="383">
        <v>3.3</v>
      </c>
    </row>
    <row r="25" spans="1:13" x14ac:dyDescent="0.25">
      <c r="A25" s="382">
        <v>4070</v>
      </c>
      <c r="B25" s="24" t="s">
        <v>59</v>
      </c>
      <c r="C25" s="24" t="s">
        <v>348</v>
      </c>
      <c r="D25" s="353">
        <v>36951</v>
      </c>
      <c r="E25" s="398">
        <v>1.6</v>
      </c>
      <c r="G25" s="382">
        <v>4216</v>
      </c>
      <c r="H25" s="24" t="s">
        <v>59</v>
      </c>
      <c r="I25" s="24" t="s">
        <v>327</v>
      </c>
      <c r="J25" s="383">
        <v>21.1</v>
      </c>
    </row>
    <row r="26" spans="1:13" x14ac:dyDescent="0.25">
      <c r="A26" s="382">
        <v>4072</v>
      </c>
      <c r="B26" s="24" t="s">
        <v>59</v>
      </c>
      <c r="C26" s="24" t="s">
        <v>349</v>
      </c>
      <c r="D26" s="353">
        <v>26085</v>
      </c>
      <c r="E26" s="396">
        <v>0</v>
      </c>
      <c r="G26" s="382">
        <v>4322</v>
      </c>
      <c r="H26" s="24" t="s">
        <v>59</v>
      </c>
      <c r="I26" s="24" t="s">
        <v>328</v>
      </c>
      <c r="J26" s="383">
        <v>0.3</v>
      </c>
    </row>
    <row r="27" spans="1:13" x14ac:dyDescent="0.25">
      <c r="A27" s="382">
        <v>4072</v>
      </c>
      <c r="B27" s="24" t="s">
        <v>59</v>
      </c>
      <c r="C27" s="24" t="s">
        <v>350</v>
      </c>
      <c r="D27" s="353">
        <v>29007</v>
      </c>
      <c r="E27" s="396">
        <v>0.3</v>
      </c>
      <c r="G27" s="388">
        <v>4325</v>
      </c>
      <c r="H27" s="352" t="s">
        <v>59</v>
      </c>
      <c r="I27" s="352" t="s">
        <v>351</v>
      </c>
      <c r="J27" s="389">
        <v>12.8</v>
      </c>
    </row>
    <row r="28" spans="1:13" x14ac:dyDescent="0.25">
      <c r="A28" s="382">
        <v>4072</v>
      </c>
      <c r="B28" s="24" t="s">
        <v>59</v>
      </c>
      <c r="C28" s="24" t="s">
        <v>349</v>
      </c>
      <c r="D28" s="353">
        <v>27912</v>
      </c>
      <c r="E28" s="396">
        <v>0.9</v>
      </c>
      <c r="G28" s="382">
        <v>4356</v>
      </c>
      <c r="H28" s="24" t="s">
        <v>59</v>
      </c>
      <c r="I28" s="24" t="s">
        <v>352</v>
      </c>
      <c r="J28" s="383">
        <v>5.4</v>
      </c>
    </row>
    <row r="29" spans="1:13" ht="15.75" thickBot="1" x14ac:dyDescent="0.3">
      <c r="A29" s="384"/>
      <c r="E29" s="397">
        <v>1.2</v>
      </c>
      <c r="G29" s="354" t="s">
        <v>52</v>
      </c>
      <c r="H29" s="355"/>
      <c r="I29" s="356"/>
      <c r="J29" s="376">
        <v>178.9</v>
      </c>
    </row>
    <row r="30" spans="1:13" x14ac:dyDescent="0.25">
      <c r="A30" s="382">
        <v>4077</v>
      </c>
      <c r="B30" s="24" t="s">
        <v>59</v>
      </c>
      <c r="C30" s="24" t="s">
        <v>353</v>
      </c>
      <c r="D30" s="353">
        <v>31929</v>
      </c>
      <c r="E30" s="398">
        <v>9.1999999999999993</v>
      </c>
      <c r="M30" s="369"/>
    </row>
    <row r="31" spans="1:13" x14ac:dyDescent="0.25">
      <c r="A31" s="382">
        <v>4078</v>
      </c>
      <c r="B31" s="24" t="s">
        <v>59</v>
      </c>
      <c r="C31" s="24" t="s">
        <v>354</v>
      </c>
      <c r="D31" s="353">
        <v>36770</v>
      </c>
      <c r="E31" s="398">
        <v>7.6</v>
      </c>
    </row>
    <row r="32" spans="1:13" x14ac:dyDescent="0.25">
      <c r="A32" s="382">
        <v>4086</v>
      </c>
      <c r="B32" s="24" t="s">
        <v>59</v>
      </c>
      <c r="C32" s="24" t="s">
        <v>355</v>
      </c>
      <c r="D32" s="353">
        <v>42338</v>
      </c>
      <c r="E32" s="396">
        <v>6.9</v>
      </c>
    </row>
    <row r="33" spans="1:5" x14ac:dyDescent="0.25">
      <c r="A33" s="382">
        <v>4086</v>
      </c>
      <c r="B33" s="24" t="s">
        <v>59</v>
      </c>
      <c r="C33" s="24" t="s">
        <v>356</v>
      </c>
      <c r="D33" s="353">
        <v>40959</v>
      </c>
      <c r="E33" s="396">
        <v>0.5</v>
      </c>
    </row>
    <row r="34" spans="1:5" x14ac:dyDescent="0.25">
      <c r="A34" s="382">
        <v>4086</v>
      </c>
      <c r="B34" s="24" t="s">
        <v>59</v>
      </c>
      <c r="C34" s="24" t="s">
        <v>357</v>
      </c>
      <c r="D34" s="353">
        <v>33512</v>
      </c>
      <c r="E34" s="396">
        <v>0</v>
      </c>
    </row>
    <row r="35" spans="1:5" x14ac:dyDescent="0.25">
      <c r="A35" s="384"/>
      <c r="E35" s="397">
        <v>7.4</v>
      </c>
    </row>
    <row r="36" spans="1:5" x14ac:dyDescent="0.25">
      <c r="A36" s="382">
        <v>4090</v>
      </c>
      <c r="B36" s="24" t="s">
        <v>59</v>
      </c>
      <c r="C36" s="24" t="s">
        <v>358</v>
      </c>
      <c r="D36" s="353">
        <v>30956</v>
      </c>
      <c r="E36" s="396">
        <v>0.5</v>
      </c>
    </row>
    <row r="37" spans="1:5" x14ac:dyDescent="0.25">
      <c r="A37" s="382">
        <v>4090</v>
      </c>
      <c r="B37" s="24" t="s">
        <v>59</v>
      </c>
      <c r="C37" s="24" t="s">
        <v>359</v>
      </c>
      <c r="D37" s="353">
        <v>39125</v>
      </c>
      <c r="E37" s="396">
        <v>7.9</v>
      </c>
    </row>
    <row r="38" spans="1:5" x14ac:dyDescent="0.25">
      <c r="A38" s="382">
        <v>4090</v>
      </c>
      <c r="B38" s="24" t="s">
        <v>59</v>
      </c>
      <c r="C38" s="24" t="s">
        <v>360</v>
      </c>
      <c r="D38" s="353">
        <v>40224</v>
      </c>
      <c r="E38" s="396">
        <v>0.6</v>
      </c>
    </row>
    <row r="39" spans="1:5" x14ac:dyDescent="0.25">
      <c r="A39" s="384"/>
      <c r="E39" s="397">
        <v>9</v>
      </c>
    </row>
    <row r="40" spans="1:5" x14ac:dyDescent="0.25">
      <c r="A40" s="382">
        <v>4095</v>
      </c>
      <c r="B40" s="24" t="s">
        <v>59</v>
      </c>
      <c r="C40" s="24" t="s">
        <v>361</v>
      </c>
      <c r="D40" s="353">
        <v>35004</v>
      </c>
      <c r="E40" s="398">
        <v>8.6999999999999993</v>
      </c>
    </row>
    <row r="41" spans="1:5" x14ac:dyDescent="0.25">
      <c r="A41" s="382">
        <v>4100</v>
      </c>
      <c r="B41" s="24" t="s">
        <v>59</v>
      </c>
      <c r="C41" s="24" t="s">
        <v>362</v>
      </c>
      <c r="D41" s="353">
        <v>42231</v>
      </c>
      <c r="E41" s="396">
        <v>0</v>
      </c>
    </row>
    <row r="42" spans="1:5" x14ac:dyDescent="0.25">
      <c r="A42" s="382">
        <v>4100</v>
      </c>
      <c r="B42" s="24" t="s">
        <v>59</v>
      </c>
      <c r="C42" s="24" t="s">
        <v>362</v>
      </c>
      <c r="D42" s="353">
        <v>42231</v>
      </c>
      <c r="E42" s="396">
        <v>0.2</v>
      </c>
    </row>
    <row r="43" spans="1:5" x14ac:dyDescent="0.25">
      <c r="A43" s="384"/>
      <c r="E43" s="397">
        <v>0.2</v>
      </c>
    </row>
    <row r="44" spans="1:5" x14ac:dyDescent="0.25">
      <c r="A44" s="382">
        <v>4101</v>
      </c>
      <c r="B44" s="24" t="s">
        <v>59</v>
      </c>
      <c r="C44" s="24" t="s">
        <v>363</v>
      </c>
      <c r="D44" s="353">
        <v>35674</v>
      </c>
      <c r="E44" s="398">
        <v>4.8</v>
      </c>
    </row>
    <row r="45" spans="1:5" x14ac:dyDescent="0.25">
      <c r="A45" s="382">
        <v>4105</v>
      </c>
      <c r="B45" s="24" t="s">
        <v>59</v>
      </c>
      <c r="C45" s="24" t="s">
        <v>364</v>
      </c>
      <c r="D45" s="353">
        <v>32509</v>
      </c>
      <c r="E45" s="396">
        <v>1.7</v>
      </c>
    </row>
    <row r="46" spans="1:5" x14ac:dyDescent="0.25">
      <c r="A46" s="382">
        <v>4105</v>
      </c>
      <c r="B46" s="24" t="s">
        <v>59</v>
      </c>
      <c r="C46" s="24" t="s">
        <v>365</v>
      </c>
      <c r="D46" s="353">
        <v>32509</v>
      </c>
      <c r="E46" s="396">
        <v>2.2999999999999998</v>
      </c>
    </row>
    <row r="47" spans="1:5" x14ac:dyDescent="0.25">
      <c r="A47" s="382">
        <v>4105</v>
      </c>
      <c r="B47" s="24" t="s">
        <v>59</v>
      </c>
      <c r="C47" s="24" t="s">
        <v>366</v>
      </c>
      <c r="D47" s="353">
        <v>35431</v>
      </c>
      <c r="E47" s="396">
        <v>0.5</v>
      </c>
    </row>
    <row r="48" spans="1:5" x14ac:dyDescent="0.25">
      <c r="A48" s="382">
        <v>4105</v>
      </c>
      <c r="B48" s="24" t="s">
        <v>59</v>
      </c>
      <c r="C48" s="24" t="s">
        <v>364</v>
      </c>
      <c r="D48" s="353">
        <v>32509</v>
      </c>
      <c r="E48" s="396">
        <v>2</v>
      </c>
    </row>
    <row r="49" spans="1:5" x14ac:dyDescent="0.25">
      <c r="A49" s="382">
        <v>4105</v>
      </c>
      <c r="B49" s="24" t="s">
        <v>59</v>
      </c>
      <c r="C49" s="24" t="s">
        <v>365</v>
      </c>
      <c r="D49" s="353">
        <v>32509</v>
      </c>
      <c r="E49" s="396">
        <v>2</v>
      </c>
    </row>
    <row r="50" spans="1:5" x14ac:dyDescent="0.25">
      <c r="A50" s="384"/>
      <c r="E50" s="397">
        <v>8.5</v>
      </c>
    </row>
    <row r="51" spans="1:5" x14ac:dyDescent="0.25">
      <c r="A51" s="382">
        <v>4109</v>
      </c>
      <c r="B51" s="24" t="s">
        <v>59</v>
      </c>
      <c r="C51" s="24" t="s">
        <v>334</v>
      </c>
      <c r="D51" s="353">
        <v>42810</v>
      </c>
      <c r="E51" s="398">
        <v>5.3</v>
      </c>
    </row>
    <row r="52" spans="1:5" x14ac:dyDescent="0.25">
      <c r="A52" s="382">
        <v>4111</v>
      </c>
      <c r="B52" s="24" t="s">
        <v>59</v>
      </c>
      <c r="C52" s="24" t="s">
        <v>334</v>
      </c>
      <c r="D52" s="353">
        <v>42810</v>
      </c>
      <c r="E52" s="396">
        <v>0.2</v>
      </c>
    </row>
    <row r="53" spans="1:5" x14ac:dyDescent="0.25">
      <c r="A53" s="382">
        <v>4111</v>
      </c>
      <c r="B53" s="24" t="s">
        <v>59</v>
      </c>
      <c r="C53" s="24" t="s">
        <v>367</v>
      </c>
      <c r="D53" s="353">
        <v>34151</v>
      </c>
      <c r="E53" s="396">
        <v>0</v>
      </c>
    </row>
    <row r="54" spans="1:5" x14ac:dyDescent="0.25">
      <c r="A54" s="382">
        <v>4111</v>
      </c>
      <c r="B54" s="24" t="s">
        <v>59</v>
      </c>
      <c r="C54" s="24" t="s">
        <v>335</v>
      </c>
      <c r="D54" s="353">
        <v>42815</v>
      </c>
      <c r="E54" s="396">
        <v>0.9</v>
      </c>
    </row>
    <row r="55" spans="1:5" x14ac:dyDescent="0.25">
      <c r="A55" s="384"/>
      <c r="E55" s="397">
        <v>1.1000000000000001</v>
      </c>
    </row>
    <row r="56" spans="1:5" x14ac:dyDescent="0.25">
      <c r="A56" s="382">
        <v>4112</v>
      </c>
      <c r="B56" s="24" t="s">
        <v>59</v>
      </c>
      <c r="C56" s="24" t="s">
        <v>335</v>
      </c>
      <c r="D56" s="353">
        <v>42815</v>
      </c>
      <c r="E56" s="398">
        <v>0.5</v>
      </c>
    </row>
    <row r="57" spans="1:5" x14ac:dyDescent="0.25">
      <c r="A57" s="382">
        <v>4204</v>
      </c>
      <c r="B57" s="24" t="s">
        <v>59</v>
      </c>
      <c r="C57" s="24" t="s">
        <v>368</v>
      </c>
      <c r="D57" s="353">
        <v>36770</v>
      </c>
      <c r="E57" s="396">
        <v>0.5</v>
      </c>
    </row>
    <row r="58" spans="1:5" x14ac:dyDescent="0.25">
      <c r="A58" s="382">
        <v>4204</v>
      </c>
      <c r="B58" s="24" t="s">
        <v>59</v>
      </c>
      <c r="C58" s="24" t="s">
        <v>369</v>
      </c>
      <c r="D58" s="353">
        <v>36678</v>
      </c>
      <c r="E58" s="396">
        <v>3.3</v>
      </c>
    </row>
    <row r="59" spans="1:5" x14ac:dyDescent="0.25">
      <c r="A59" s="382">
        <v>4204</v>
      </c>
      <c r="B59" s="24" t="s">
        <v>59</v>
      </c>
      <c r="C59" s="24" t="s">
        <v>370</v>
      </c>
      <c r="D59" s="353">
        <v>41030</v>
      </c>
      <c r="E59" s="396">
        <v>0</v>
      </c>
    </row>
    <row r="60" spans="1:5" x14ac:dyDescent="0.25">
      <c r="A60" s="382">
        <v>4204</v>
      </c>
      <c r="B60" s="24" t="s">
        <v>59</v>
      </c>
      <c r="C60" s="24" t="s">
        <v>369</v>
      </c>
      <c r="D60" s="353">
        <v>36678</v>
      </c>
      <c r="E60" s="396">
        <v>0.2</v>
      </c>
    </row>
    <row r="61" spans="1:5" x14ac:dyDescent="0.25">
      <c r="A61" s="382">
        <v>4204</v>
      </c>
      <c r="B61" s="24" t="s">
        <v>59</v>
      </c>
      <c r="C61" s="24" t="s">
        <v>370</v>
      </c>
      <c r="D61" s="353">
        <v>41030</v>
      </c>
      <c r="E61" s="396">
        <v>0.2</v>
      </c>
    </row>
    <row r="62" spans="1:5" x14ac:dyDescent="0.25">
      <c r="A62" s="384"/>
      <c r="E62" s="397">
        <v>4.2</v>
      </c>
    </row>
    <row r="63" spans="1:5" x14ac:dyDescent="0.25">
      <c r="A63" s="382">
        <v>4205</v>
      </c>
      <c r="B63" s="24" t="s">
        <v>59</v>
      </c>
      <c r="C63" s="24" t="s">
        <v>337</v>
      </c>
      <c r="D63" s="353">
        <v>25355</v>
      </c>
      <c r="E63" s="396">
        <v>19.5</v>
      </c>
    </row>
    <row r="64" spans="1:5" x14ac:dyDescent="0.25">
      <c r="A64" s="382">
        <v>4205</v>
      </c>
      <c r="B64" s="24" t="s">
        <v>59</v>
      </c>
      <c r="C64" s="24" t="s">
        <v>371</v>
      </c>
      <c r="D64" s="353">
        <v>36348</v>
      </c>
      <c r="E64" s="396">
        <v>0.1</v>
      </c>
    </row>
    <row r="65" spans="1:5" x14ac:dyDescent="0.25">
      <c r="A65" s="382">
        <v>4205</v>
      </c>
      <c r="B65" s="24" t="s">
        <v>59</v>
      </c>
      <c r="C65" s="24" t="s">
        <v>328</v>
      </c>
      <c r="D65" s="353">
        <v>43101</v>
      </c>
      <c r="E65" s="396">
        <v>0.6</v>
      </c>
    </row>
    <row r="66" spans="1:5" x14ac:dyDescent="0.25">
      <c r="A66" s="382">
        <v>4205</v>
      </c>
      <c r="B66" s="24" t="s">
        <v>59</v>
      </c>
      <c r="C66" s="24" t="s">
        <v>337</v>
      </c>
      <c r="D66" s="353">
        <v>25355</v>
      </c>
      <c r="E66" s="396">
        <v>0.5</v>
      </c>
    </row>
    <row r="67" spans="1:5" x14ac:dyDescent="0.25">
      <c r="A67" s="382">
        <v>4205</v>
      </c>
      <c r="B67" s="24" t="s">
        <v>59</v>
      </c>
      <c r="C67" s="24" t="s">
        <v>328</v>
      </c>
      <c r="D67" s="353">
        <v>43101</v>
      </c>
      <c r="E67" s="396">
        <v>0.5</v>
      </c>
    </row>
    <row r="68" spans="1:5" x14ac:dyDescent="0.25">
      <c r="A68" s="384"/>
      <c r="E68" s="397">
        <v>21.1</v>
      </c>
    </row>
    <row r="69" spans="1:5" x14ac:dyDescent="0.25">
      <c r="A69" s="382">
        <v>4210</v>
      </c>
      <c r="B69" s="24" t="s">
        <v>59</v>
      </c>
      <c r="C69" s="24" t="s">
        <v>372</v>
      </c>
      <c r="D69" s="353">
        <v>42644</v>
      </c>
      <c r="E69" s="396">
        <v>0</v>
      </c>
    </row>
    <row r="70" spans="1:5" x14ac:dyDescent="0.25">
      <c r="A70" s="382">
        <v>4210</v>
      </c>
      <c r="B70" s="24" t="s">
        <v>59</v>
      </c>
      <c r="C70" s="24" t="s">
        <v>373</v>
      </c>
      <c r="D70" s="353">
        <v>29007</v>
      </c>
      <c r="E70" s="396">
        <v>13.3</v>
      </c>
    </row>
    <row r="71" spans="1:5" x14ac:dyDescent="0.25">
      <c r="A71" s="382">
        <v>4210</v>
      </c>
      <c r="B71" s="24" t="s">
        <v>59</v>
      </c>
      <c r="C71" s="24" t="s">
        <v>374</v>
      </c>
      <c r="D71" s="353">
        <v>35977</v>
      </c>
      <c r="E71" s="396">
        <v>5.2</v>
      </c>
    </row>
    <row r="72" spans="1:5" x14ac:dyDescent="0.25">
      <c r="A72" s="382">
        <v>4210</v>
      </c>
      <c r="B72" s="24" t="s">
        <v>59</v>
      </c>
      <c r="C72" s="24" t="s">
        <v>372</v>
      </c>
      <c r="D72" s="353">
        <v>42644</v>
      </c>
      <c r="E72" s="396">
        <v>0</v>
      </c>
    </row>
    <row r="73" spans="1:5" x14ac:dyDescent="0.25">
      <c r="A73" s="382">
        <v>4210</v>
      </c>
      <c r="B73" s="24" t="s">
        <v>59</v>
      </c>
      <c r="C73" s="24" t="s">
        <v>374</v>
      </c>
      <c r="D73" s="353">
        <v>35977</v>
      </c>
      <c r="E73" s="396">
        <v>0</v>
      </c>
    </row>
    <row r="74" spans="1:5" x14ac:dyDescent="0.25">
      <c r="A74" s="382">
        <v>4210</v>
      </c>
      <c r="B74" s="24" t="s">
        <v>59</v>
      </c>
      <c r="C74" s="24" t="s">
        <v>373</v>
      </c>
      <c r="D74" s="353">
        <v>29007</v>
      </c>
      <c r="E74" s="396">
        <v>0</v>
      </c>
    </row>
    <row r="75" spans="1:5" x14ac:dyDescent="0.25">
      <c r="A75" s="382">
        <v>4210</v>
      </c>
      <c r="B75" s="24" t="s">
        <v>59</v>
      </c>
      <c r="C75" s="24" t="s">
        <v>374</v>
      </c>
      <c r="D75" s="353">
        <v>35977</v>
      </c>
      <c r="E75" s="396">
        <v>0</v>
      </c>
    </row>
    <row r="76" spans="1:5" x14ac:dyDescent="0.25">
      <c r="A76" s="384"/>
      <c r="E76" s="397">
        <v>18.5</v>
      </c>
    </row>
    <row r="77" spans="1:5" x14ac:dyDescent="0.25">
      <c r="A77" s="382">
        <v>4211</v>
      </c>
      <c r="B77" s="24" t="s">
        <v>59</v>
      </c>
      <c r="C77" s="24" t="s">
        <v>375</v>
      </c>
      <c r="D77" s="353">
        <v>36982</v>
      </c>
      <c r="E77" s="396">
        <v>1.3</v>
      </c>
    </row>
    <row r="78" spans="1:5" x14ac:dyDescent="0.25">
      <c r="A78" s="382">
        <v>4211</v>
      </c>
      <c r="B78" s="24" t="s">
        <v>59</v>
      </c>
      <c r="C78" s="24" t="s">
        <v>376</v>
      </c>
      <c r="D78" s="353">
        <v>37773</v>
      </c>
      <c r="E78" s="396">
        <v>5.8</v>
      </c>
    </row>
    <row r="79" spans="1:5" x14ac:dyDescent="0.25">
      <c r="A79" s="382">
        <v>4211</v>
      </c>
      <c r="B79" s="24" t="s">
        <v>59</v>
      </c>
      <c r="C79" s="21" t="s">
        <v>343</v>
      </c>
      <c r="D79" s="482">
        <v>43529</v>
      </c>
      <c r="E79" s="396">
        <v>2.7</v>
      </c>
    </row>
    <row r="80" spans="1:5" x14ac:dyDescent="0.25">
      <c r="A80" s="382">
        <v>4211</v>
      </c>
      <c r="B80" s="24" t="s">
        <v>59</v>
      </c>
      <c r="C80" s="21" t="s">
        <v>342</v>
      </c>
      <c r="D80" s="482">
        <v>43523</v>
      </c>
      <c r="E80" s="396">
        <v>0.7</v>
      </c>
    </row>
    <row r="81" spans="1:5" x14ac:dyDescent="0.25">
      <c r="A81" s="382">
        <v>4211</v>
      </c>
      <c r="B81" s="24" t="s">
        <v>59</v>
      </c>
      <c r="C81" s="24" t="s">
        <v>375</v>
      </c>
      <c r="D81" s="353">
        <v>36982</v>
      </c>
      <c r="E81" s="396">
        <v>0</v>
      </c>
    </row>
    <row r="82" spans="1:5" x14ac:dyDescent="0.25">
      <c r="A82" s="382">
        <v>4211</v>
      </c>
      <c r="B82" s="24" t="s">
        <v>59</v>
      </c>
      <c r="C82" s="24" t="s">
        <v>342</v>
      </c>
      <c r="D82" s="353">
        <v>43523</v>
      </c>
      <c r="E82" s="396">
        <v>0</v>
      </c>
    </row>
    <row r="83" spans="1:5" x14ac:dyDescent="0.25">
      <c r="A83" s="382">
        <v>4211</v>
      </c>
      <c r="B83" s="24" t="s">
        <v>59</v>
      </c>
      <c r="C83" s="24" t="s">
        <v>377</v>
      </c>
      <c r="D83" s="353">
        <v>35643</v>
      </c>
      <c r="E83" s="396">
        <v>0.3</v>
      </c>
    </row>
    <row r="84" spans="1:5" x14ac:dyDescent="0.25">
      <c r="A84" s="382">
        <v>4211</v>
      </c>
      <c r="B84" s="24" t="s">
        <v>59</v>
      </c>
      <c r="C84" s="24" t="s">
        <v>342</v>
      </c>
      <c r="D84" s="353">
        <v>43523</v>
      </c>
      <c r="E84" s="396">
        <v>0.3</v>
      </c>
    </row>
    <row r="85" spans="1:5" x14ac:dyDescent="0.25">
      <c r="A85" s="384"/>
      <c r="E85" s="397">
        <v>11.1</v>
      </c>
    </row>
    <row r="86" spans="1:5" x14ac:dyDescent="0.25">
      <c r="A86" s="382">
        <v>4212</v>
      </c>
      <c r="B86" s="24" t="s">
        <v>59</v>
      </c>
      <c r="C86" s="24" t="s">
        <v>378</v>
      </c>
      <c r="D86" s="353">
        <v>36617</v>
      </c>
      <c r="E86" s="396">
        <v>0.7</v>
      </c>
    </row>
    <row r="87" spans="1:5" x14ac:dyDescent="0.25">
      <c r="A87" s="382">
        <v>4212</v>
      </c>
      <c r="B87" s="24" t="s">
        <v>59</v>
      </c>
      <c r="C87" s="24" t="s">
        <v>379</v>
      </c>
      <c r="D87" s="353">
        <v>35947</v>
      </c>
      <c r="E87" s="396">
        <v>26.7</v>
      </c>
    </row>
    <row r="88" spans="1:5" x14ac:dyDescent="0.25">
      <c r="A88" s="384"/>
      <c r="E88" s="397">
        <v>27.4</v>
      </c>
    </row>
    <row r="89" spans="1:5" x14ac:dyDescent="0.25">
      <c r="A89" s="382">
        <v>4213</v>
      </c>
      <c r="B89" s="24" t="s">
        <v>59</v>
      </c>
      <c r="C89" s="24" t="s">
        <v>380</v>
      </c>
      <c r="D89" s="353">
        <v>37408</v>
      </c>
      <c r="E89" s="396">
        <v>9</v>
      </c>
    </row>
    <row r="90" spans="1:5" x14ac:dyDescent="0.25">
      <c r="A90" s="382">
        <v>4213</v>
      </c>
      <c r="B90" s="24" t="s">
        <v>59</v>
      </c>
      <c r="C90" s="24" t="s">
        <v>381</v>
      </c>
      <c r="D90" s="353">
        <v>37803</v>
      </c>
      <c r="E90" s="396">
        <v>3.9</v>
      </c>
    </row>
    <row r="91" spans="1:5" x14ac:dyDescent="0.25">
      <c r="A91" s="382">
        <v>4213</v>
      </c>
      <c r="B91" s="24" t="s">
        <v>59</v>
      </c>
      <c r="C91" s="24" t="s">
        <v>375</v>
      </c>
      <c r="D91" s="353">
        <v>36982</v>
      </c>
      <c r="E91" s="396">
        <v>7.6</v>
      </c>
    </row>
    <row r="92" spans="1:5" x14ac:dyDescent="0.25">
      <c r="A92" s="382">
        <v>4213</v>
      </c>
      <c r="B92" s="24" t="s">
        <v>59</v>
      </c>
      <c r="C92" s="24" t="s">
        <v>376</v>
      </c>
      <c r="D92" s="353">
        <v>37773</v>
      </c>
      <c r="E92" s="396">
        <v>0.3</v>
      </c>
    </row>
    <row r="93" spans="1:5" x14ac:dyDescent="0.25">
      <c r="A93" s="382">
        <v>4213</v>
      </c>
      <c r="B93" s="24" t="s">
        <v>59</v>
      </c>
      <c r="C93" s="21" t="s">
        <v>343</v>
      </c>
      <c r="D93" s="482">
        <v>43529</v>
      </c>
      <c r="E93" s="396">
        <v>0.7</v>
      </c>
    </row>
    <row r="94" spans="1:5" x14ac:dyDescent="0.25">
      <c r="A94" s="382">
        <v>4213</v>
      </c>
      <c r="B94" s="24" t="s">
        <v>59</v>
      </c>
      <c r="C94" s="24" t="s">
        <v>375</v>
      </c>
      <c r="D94" s="353">
        <v>36982</v>
      </c>
      <c r="E94" s="396">
        <v>7.5</v>
      </c>
    </row>
    <row r="95" spans="1:5" x14ac:dyDescent="0.25">
      <c r="A95" s="382">
        <v>4213</v>
      </c>
      <c r="B95" s="24" t="s">
        <v>59</v>
      </c>
      <c r="C95" s="21" t="s">
        <v>343</v>
      </c>
      <c r="D95" s="482">
        <v>43529</v>
      </c>
      <c r="E95" s="396">
        <v>7.5</v>
      </c>
    </row>
    <row r="96" spans="1:5" x14ac:dyDescent="0.25">
      <c r="A96" s="384"/>
      <c r="E96" s="397">
        <v>36.5</v>
      </c>
    </row>
    <row r="97" spans="1:5" x14ac:dyDescent="0.25">
      <c r="A97" s="382">
        <v>4214</v>
      </c>
      <c r="B97" s="24" t="s">
        <v>59</v>
      </c>
      <c r="C97" s="24" t="s">
        <v>380</v>
      </c>
      <c r="D97" s="353">
        <v>37408</v>
      </c>
      <c r="E97" s="396">
        <v>3.1</v>
      </c>
    </row>
    <row r="98" spans="1:5" x14ac:dyDescent="0.25">
      <c r="A98" s="382">
        <v>4214</v>
      </c>
      <c r="B98" s="24" t="s">
        <v>59</v>
      </c>
      <c r="C98" s="24" t="s">
        <v>347</v>
      </c>
      <c r="D98" s="353">
        <v>43417</v>
      </c>
      <c r="E98" s="396">
        <v>3.3</v>
      </c>
    </row>
    <row r="99" spans="1:5" x14ac:dyDescent="0.25">
      <c r="A99" s="384"/>
      <c r="E99" s="397">
        <v>6.4</v>
      </c>
    </row>
    <row r="100" spans="1:5" x14ac:dyDescent="0.25">
      <c r="A100" s="382">
        <v>4215</v>
      </c>
      <c r="B100" s="24" t="s">
        <v>59</v>
      </c>
      <c r="C100" s="24" t="s">
        <v>382</v>
      </c>
      <c r="D100" s="353">
        <v>37865</v>
      </c>
      <c r="E100" s="398">
        <v>5.0999999999999996</v>
      </c>
    </row>
    <row r="101" spans="1:5" x14ac:dyDescent="0.25">
      <c r="A101" s="382">
        <v>4221</v>
      </c>
      <c r="B101" s="24" t="s">
        <v>59</v>
      </c>
      <c r="C101" s="24" t="s">
        <v>383</v>
      </c>
      <c r="D101" s="353">
        <v>36982</v>
      </c>
      <c r="E101" s="398">
        <v>1.6</v>
      </c>
    </row>
    <row r="102" spans="1:5" x14ac:dyDescent="0.25">
      <c r="A102" s="382">
        <v>4238</v>
      </c>
      <c r="B102" s="24" t="s">
        <v>59</v>
      </c>
      <c r="C102" s="24" t="s">
        <v>384</v>
      </c>
      <c r="D102" s="353">
        <v>32721</v>
      </c>
      <c r="E102" s="398">
        <v>15.3</v>
      </c>
    </row>
    <row r="103" spans="1:5" x14ac:dyDescent="0.25">
      <c r="A103" s="382">
        <v>4239</v>
      </c>
      <c r="B103" s="24" t="s">
        <v>59</v>
      </c>
      <c r="C103" s="24" t="s">
        <v>385</v>
      </c>
      <c r="D103" s="353">
        <v>32782</v>
      </c>
      <c r="E103" s="396">
        <v>2.9</v>
      </c>
    </row>
    <row r="104" spans="1:5" x14ac:dyDescent="0.25">
      <c r="A104" s="382">
        <v>4239</v>
      </c>
      <c r="B104" s="24" t="s">
        <v>59</v>
      </c>
      <c r="C104" s="24" t="s">
        <v>386</v>
      </c>
      <c r="D104" s="353">
        <v>33970</v>
      </c>
      <c r="E104" s="396">
        <v>6.5</v>
      </c>
    </row>
    <row r="105" spans="1:5" x14ac:dyDescent="0.25">
      <c r="A105" s="382">
        <v>4239</v>
      </c>
      <c r="B105" s="24" t="s">
        <v>59</v>
      </c>
      <c r="C105" s="24" t="s">
        <v>384</v>
      </c>
      <c r="D105" s="353">
        <v>32721</v>
      </c>
      <c r="E105" s="396">
        <v>0.9</v>
      </c>
    </row>
    <row r="106" spans="1:5" x14ac:dyDescent="0.25">
      <c r="A106" s="382">
        <v>4239</v>
      </c>
      <c r="B106" s="24" t="s">
        <v>59</v>
      </c>
      <c r="C106" s="24" t="s">
        <v>385</v>
      </c>
      <c r="D106" s="353">
        <v>32782</v>
      </c>
      <c r="E106" s="396">
        <v>0.3</v>
      </c>
    </row>
    <row r="107" spans="1:5" x14ac:dyDescent="0.25">
      <c r="A107" s="382">
        <v>4239</v>
      </c>
      <c r="B107" s="24" t="s">
        <v>59</v>
      </c>
      <c r="C107" s="24" t="s">
        <v>386</v>
      </c>
      <c r="D107" s="353">
        <v>33970</v>
      </c>
      <c r="E107" s="396">
        <v>0.3</v>
      </c>
    </row>
    <row r="108" spans="1:5" x14ac:dyDescent="0.25">
      <c r="A108" s="384"/>
      <c r="E108" s="397">
        <v>10.9</v>
      </c>
    </row>
    <row r="109" spans="1:5" x14ac:dyDescent="0.25">
      <c r="A109" s="382">
        <v>4322</v>
      </c>
      <c r="B109" s="24" t="s">
        <v>59</v>
      </c>
      <c r="C109" s="24" t="s">
        <v>326</v>
      </c>
      <c r="D109" s="353">
        <v>36039</v>
      </c>
      <c r="E109" s="396">
        <v>4.8</v>
      </c>
    </row>
    <row r="110" spans="1:5" x14ac:dyDescent="0.25">
      <c r="A110" s="382">
        <v>4322</v>
      </c>
      <c r="B110" s="24" t="s">
        <v>59</v>
      </c>
      <c r="C110" s="24" t="s">
        <v>387</v>
      </c>
      <c r="D110" s="353">
        <v>25569</v>
      </c>
      <c r="E110" s="396">
        <v>19</v>
      </c>
    </row>
    <row r="111" spans="1:5" x14ac:dyDescent="0.25">
      <c r="A111" s="382">
        <v>4322</v>
      </c>
      <c r="B111" s="24" t="s">
        <v>59</v>
      </c>
      <c r="C111" s="24" t="s">
        <v>326</v>
      </c>
      <c r="D111" s="353">
        <v>36039</v>
      </c>
      <c r="E111" s="396">
        <v>0.3</v>
      </c>
    </row>
    <row r="112" spans="1:5" x14ac:dyDescent="0.25">
      <c r="A112" s="382">
        <v>4322</v>
      </c>
      <c r="B112" s="24" t="s">
        <v>59</v>
      </c>
      <c r="C112" s="24" t="s">
        <v>328</v>
      </c>
      <c r="D112" s="353">
        <v>43101</v>
      </c>
      <c r="E112" s="396">
        <v>0.3</v>
      </c>
    </row>
    <row r="113" spans="1:5" x14ac:dyDescent="0.25">
      <c r="A113" s="384"/>
      <c r="E113" s="397">
        <v>24.4</v>
      </c>
    </row>
    <row r="114" spans="1:5" x14ac:dyDescent="0.25">
      <c r="A114" s="382">
        <v>4325</v>
      </c>
      <c r="B114" s="24" t="s">
        <v>59</v>
      </c>
      <c r="C114" s="24" t="s">
        <v>351</v>
      </c>
      <c r="D114" s="353">
        <v>43427</v>
      </c>
      <c r="E114" s="396">
        <v>12.4</v>
      </c>
    </row>
    <row r="115" spans="1:5" x14ac:dyDescent="0.25">
      <c r="A115" s="382">
        <v>4325</v>
      </c>
      <c r="B115" s="24" t="s">
        <v>59</v>
      </c>
      <c r="C115" s="24" t="s">
        <v>345</v>
      </c>
      <c r="D115" s="353">
        <v>32295</v>
      </c>
      <c r="E115" s="396">
        <v>3.3</v>
      </c>
    </row>
    <row r="116" spans="1:5" x14ac:dyDescent="0.25">
      <c r="A116" s="382">
        <v>4325</v>
      </c>
      <c r="B116" s="24" t="s">
        <v>59</v>
      </c>
      <c r="C116" s="24" t="s">
        <v>351</v>
      </c>
      <c r="D116" s="353">
        <v>43427</v>
      </c>
      <c r="E116" s="396">
        <v>0.4</v>
      </c>
    </row>
    <row r="117" spans="1:5" x14ac:dyDescent="0.25">
      <c r="A117" s="382">
        <v>4325</v>
      </c>
      <c r="B117" s="24" t="s">
        <v>59</v>
      </c>
      <c r="C117" s="24" t="s">
        <v>345</v>
      </c>
      <c r="D117" s="353">
        <v>32295</v>
      </c>
      <c r="E117" s="396">
        <v>0.4</v>
      </c>
    </row>
    <row r="118" spans="1:5" x14ac:dyDescent="0.25">
      <c r="A118" s="384"/>
      <c r="E118" s="397">
        <v>16.5</v>
      </c>
    </row>
    <row r="119" spans="1:5" x14ac:dyDescent="0.25">
      <c r="A119" s="382">
        <v>4327</v>
      </c>
      <c r="B119" s="24" t="s">
        <v>59</v>
      </c>
      <c r="C119" s="24" t="s">
        <v>388</v>
      </c>
      <c r="D119" s="353">
        <v>34639</v>
      </c>
      <c r="E119" s="396">
        <v>0</v>
      </c>
    </row>
    <row r="120" spans="1:5" x14ac:dyDescent="0.25">
      <c r="A120" s="382">
        <v>4327</v>
      </c>
      <c r="B120" s="24" t="s">
        <v>59</v>
      </c>
      <c r="C120" s="24" t="s">
        <v>389</v>
      </c>
      <c r="D120" s="353">
        <v>37938</v>
      </c>
      <c r="E120" s="396">
        <v>0.1</v>
      </c>
    </row>
    <row r="121" spans="1:5" x14ac:dyDescent="0.25">
      <c r="A121" s="382">
        <v>4327</v>
      </c>
      <c r="B121" s="24" t="s">
        <v>59</v>
      </c>
      <c r="C121" s="24" t="s">
        <v>390</v>
      </c>
      <c r="D121" s="353">
        <v>37865</v>
      </c>
      <c r="E121" s="396">
        <v>1</v>
      </c>
    </row>
    <row r="122" spans="1:5" x14ac:dyDescent="0.25">
      <c r="A122" s="384"/>
      <c r="E122" s="397">
        <v>1.1000000000000001</v>
      </c>
    </row>
    <row r="123" spans="1:5" x14ac:dyDescent="0.25">
      <c r="A123" s="382">
        <v>4331</v>
      </c>
      <c r="B123" s="24" t="s">
        <v>59</v>
      </c>
      <c r="C123" s="24" t="s">
        <v>391</v>
      </c>
      <c r="D123" s="353">
        <v>31929</v>
      </c>
      <c r="E123" s="398">
        <v>0.2</v>
      </c>
    </row>
    <row r="124" spans="1:5" x14ac:dyDescent="0.25">
      <c r="A124" s="382">
        <v>4333</v>
      </c>
      <c r="B124" s="24" t="s">
        <v>59</v>
      </c>
      <c r="C124" s="24" t="s">
        <v>392</v>
      </c>
      <c r="D124" s="353">
        <v>36342</v>
      </c>
      <c r="E124" s="396">
        <v>3.7</v>
      </c>
    </row>
    <row r="125" spans="1:5" x14ac:dyDescent="0.25">
      <c r="A125" s="382">
        <v>4333</v>
      </c>
      <c r="B125" s="24" t="s">
        <v>59</v>
      </c>
      <c r="C125" s="24" t="s">
        <v>393</v>
      </c>
      <c r="D125" s="353">
        <v>35643</v>
      </c>
      <c r="E125" s="396">
        <v>0.7</v>
      </c>
    </row>
    <row r="126" spans="1:5" x14ac:dyDescent="0.25">
      <c r="A126" s="382">
        <v>4333</v>
      </c>
      <c r="B126" s="24" t="s">
        <v>59</v>
      </c>
      <c r="C126" s="24" t="s">
        <v>394</v>
      </c>
      <c r="D126" s="353">
        <v>38200</v>
      </c>
      <c r="E126" s="396">
        <v>2.2000000000000002</v>
      </c>
    </row>
    <row r="127" spans="1:5" x14ac:dyDescent="0.25">
      <c r="A127" s="384"/>
      <c r="E127" s="397">
        <v>6.6</v>
      </c>
    </row>
    <row r="128" spans="1:5" x14ac:dyDescent="0.25">
      <c r="A128" s="382">
        <v>4335</v>
      </c>
      <c r="B128" s="24" t="s">
        <v>59</v>
      </c>
      <c r="C128" s="24" t="s">
        <v>395</v>
      </c>
      <c r="D128" s="353">
        <v>32660</v>
      </c>
      <c r="E128" s="398">
        <v>3.9</v>
      </c>
    </row>
    <row r="129" spans="1:5" x14ac:dyDescent="0.25">
      <c r="A129" s="382">
        <v>4338</v>
      </c>
      <c r="B129" s="24" t="s">
        <v>59</v>
      </c>
      <c r="C129" s="24" t="s">
        <v>396</v>
      </c>
      <c r="D129" s="353">
        <v>41775</v>
      </c>
      <c r="E129" s="398">
        <v>15.4</v>
      </c>
    </row>
    <row r="130" spans="1:5" x14ac:dyDescent="0.25">
      <c r="A130" s="382">
        <v>4346</v>
      </c>
      <c r="B130" s="24" t="s">
        <v>59</v>
      </c>
      <c r="C130" s="24" t="s">
        <v>397</v>
      </c>
      <c r="D130" s="353">
        <v>27912</v>
      </c>
      <c r="E130" s="398">
        <v>21.1</v>
      </c>
    </row>
    <row r="131" spans="1:5" x14ac:dyDescent="0.25">
      <c r="A131" s="382">
        <v>4348</v>
      </c>
      <c r="B131" s="24" t="s">
        <v>59</v>
      </c>
      <c r="C131" s="24" t="s">
        <v>398</v>
      </c>
      <c r="D131" s="353">
        <v>32051</v>
      </c>
      <c r="E131" s="398">
        <v>0.1</v>
      </c>
    </row>
    <row r="132" spans="1:5" x14ac:dyDescent="0.25">
      <c r="A132" s="382">
        <v>4356</v>
      </c>
      <c r="B132" s="24" t="s">
        <v>59</v>
      </c>
      <c r="C132" s="24" t="s">
        <v>399</v>
      </c>
      <c r="D132" s="353">
        <v>32874</v>
      </c>
      <c r="E132" s="396">
        <v>5.7</v>
      </c>
    </row>
    <row r="133" spans="1:5" x14ac:dyDescent="0.25">
      <c r="A133" s="382">
        <v>4356</v>
      </c>
      <c r="B133" s="24" t="s">
        <v>59</v>
      </c>
      <c r="C133" s="21" t="s">
        <v>352</v>
      </c>
      <c r="D133" s="482">
        <v>44151</v>
      </c>
      <c r="E133" s="396">
        <v>5.4</v>
      </c>
    </row>
    <row r="134" spans="1:5" x14ac:dyDescent="0.25">
      <c r="A134" s="384"/>
      <c r="E134" s="397">
        <v>11.1</v>
      </c>
    </row>
    <row r="135" spans="1:5" ht="15.75" thickBot="1" x14ac:dyDescent="0.3">
      <c r="A135" s="354" t="s">
        <v>52</v>
      </c>
      <c r="B135" s="355"/>
      <c r="C135" s="356"/>
      <c r="D135" s="357"/>
      <c r="E135" s="358">
        <v>421.9</v>
      </c>
    </row>
    <row r="136" spans="1:5" x14ac:dyDescent="0.25">
      <c r="A136" s="384"/>
      <c r="E136" s="399"/>
    </row>
    <row r="137" spans="1:5" x14ac:dyDescent="0.25">
      <c r="A137" s="384">
        <v>4395</v>
      </c>
      <c r="B137" s="19" t="s">
        <v>32</v>
      </c>
      <c r="C137" s="19" t="s">
        <v>400</v>
      </c>
      <c r="D137" s="351">
        <v>29007</v>
      </c>
      <c r="E137" s="399">
        <v>6.6</v>
      </c>
    </row>
    <row r="138" spans="1:5" x14ac:dyDescent="0.25">
      <c r="A138" s="384">
        <v>4487</v>
      </c>
      <c r="B138" s="19" t="s">
        <v>32</v>
      </c>
      <c r="C138" s="19" t="s">
        <v>401</v>
      </c>
      <c r="D138" s="351">
        <v>40415</v>
      </c>
      <c r="E138" s="399">
        <v>0</v>
      </c>
    </row>
    <row r="139" spans="1:5" ht="15.75" thickBot="1" x14ac:dyDescent="0.3">
      <c r="A139" s="354" t="s">
        <v>52</v>
      </c>
      <c r="B139" s="355"/>
      <c r="C139" s="356"/>
      <c r="D139" s="357"/>
      <c r="E139" s="358">
        <v>6.6</v>
      </c>
    </row>
    <row r="144" spans="1:5" x14ac:dyDescent="0.25">
      <c r="E144"/>
    </row>
    <row r="152" spans="34:138" x14ac:dyDescent="0.25">
      <c r="AH152" s="371"/>
      <c r="AQ152" s="351"/>
      <c r="BR152" s="351"/>
      <c r="CG152" s="351"/>
      <c r="CP152" s="351"/>
      <c r="CS152" s="351"/>
      <c r="CW152" s="351"/>
      <c r="EF152" s="372"/>
      <c r="EH152" s="372"/>
    </row>
    <row r="153" spans="34:138" x14ac:dyDescent="0.25">
      <c r="AH153" s="371"/>
      <c r="AQ153" s="372"/>
      <c r="BQ153" s="351"/>
      <c r="BR153" s="351"/>
      <c r="CG153" s="351"/>
      <c r="CW153" s="351"/>
      <c r="DW153" s="351"/>
      <c r="EF153" s="372"/>
      <c r="EH153" s="372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-0.249977111117893"/>
  </sheetPr>
  <dimension ref="A1:Z166"/>
  <sheetViews>
    <sheetView zoomScale="55" zoomScaleNormal="55" workbookViewId="0">
      <selection activeCell="G68" sqref="G68"/>
    </sheetView>
  </sheetViews>
  <sheetFormatPr defaultRowHeight="15" x14ac:dyDescent="0.25"/>
  <cols>
    <col min="5" max="5" width="39.140625" bestFit="1" customWidth="1"/>
    <col min="6" max="6" width="13.7109375" style="134" bestFit="1" customWidth="1"/>
    <col min="7" max="7" width="35.5703125" bestFit="1" customWidth="1"/>
    <col min="8" max="8" width="13.7109375" style="134" bestFit="1" customWidth="1"/>
    <col min="11" max="11" width="20.28515625" bestFit="1" customWidth="1"/>
    <col min="12" max="12" width="10.28515625" style="134" bestFit="1" customWidth="1"/>
    <col min="13" max="13" width="12.5703125" style="134" bestFit="1" customWidth="1"/>
    <col min="14" max="15" width="13.7109375" style="134" bestFit="1" customWidth="1"/>
    <col min="16" max="18" width="16.7109375" style="134" bestFit="1" customWidth="1"/>
    <col min="19" max="19" width="13.140625" style="134" bestFit="1" customWidth="1"/>
    <col min="20" max="20" width="13.140625" style="420" bestFit="1" customWidth="1"/>
    <col min="21" max="21" width="10" style="134" bestFit="1" customWidth="1"/>
  </cols>
  <sheetData>
    <row r="1" spans="1:26" ht="45.75" thickBot="1" x14ac:dyDescent="0.3">
      <c r="A1" s="487" t="s">
        <v>307</v>
      </c>
      <c r="B1" s="487"/>
      <c r="C1" s="487"/>
      <c r="D1" s="487"/>
      <c r="E1" s="488" t="s">
        <v>1</v>
      </c>
      <c r="F1" s="488"/>
      <c r="G1" s="488"/>
      <c r="H1" s="488"/>
      <c r="I1" s="373" t="s">
        <v>2</v>
      </c>
      <c r="J1" s="410" t="s">
        <v>3</v>
      </c>
      <c r="K1" s="483" t="s">
        <v>4</v>
      </c>
      <c r="L1" s="483"/>
      <c r="M1" s="422" t="s">
        <v>5</v>
      </c>
      <c r="N1" s="490" t="s">
        <v>6</v>
      </c>
      <c r="O1" s="490"/>
      <c r="P1" s="502" t="s">
        <v>7</v>
      </c>
      <c r="Q1" s="500" t="s">
        <v>402</v>
      </c>
      <c r="R1" s="501"/>
      <c r="S1" s="501"/>
      <c r="T1" s="421"/>
      <c r="U1" s="426"/>
    </row>
    <row r="2" spans="1:26" ht="36" x14ac:dyDescent="0.25">
      <c r="A2" s="5" t="s">
        <v>10</v>
      </c>
      <c r="B2" s="2" t="s">
        <v>11</v>
      </c>
      <c r="C2" s="2" t="s">
        <v>12</v>
      </c>
      <c r="D2" s="305" t="s">
        <v>13</v>
      </c>
      <c r="E2" s="306" t="s">
        <v>125</v>
      </c>
      <c r="F2" s="71" t="s">
        <v>15</v>
      </c>
      <c r="G2" s="307" t="s">
        <v>16</v>
      </c>
      <c r="H2" s="418" t="s">
        <v>17</v>
      </c>
      <c r="I2" s="309" t="s">
        <v>20</v>
      </c>
      <c r="J2" s="52" t="s">
        <v>21</v>
      </c>
      <c r="K2" s="310" t="s">
        <v>22</v>
      </c>
      <c r="L2" s="314" t="s">
        <v>23</v>
      </c>
      <c r="M2" s="315" t="s">
        <v>24</v>
      </c>
      <c r="N2" s="423" t="s">
        <v>25</v>
      </c>
      <c r="O2" s="424" t="s">
        <v>26</v>
      </c>
      <c r="P2" s="503"/>
      <c r="Q2" s="425" t="s">
        <v>54</v>
      </c>
      <c r="R2" s="425" t="s">
        <v>55</v>
      </c>
      <c r="S2" s="425" t="s">
        <v>309</v>
      </c>
      <c r="T2" s="428" t="s">
        <v>310</v>
      </c>
      <c r="U2" s="427" t="s">
        <v>311</v>
      </c>
    </row>
    <row r="3" spans="1:26" x14ac:dyDescent="0.25">
      <c r="A3" s="429">
        <v>3970</v>
      </c>
      <c r="B3" s="430" t="s">
        <v>59</v>
      </c>
      <c r="C3" s="430" t="s">
        <v>33</v>
      </c>
      <c r="D3" s="430">
        <v>14.481883056799999</v>
      </c>
      <c r="E3" s="432" t="s">
        <v>317</v>
      </c>
      <c r="F3" s="419">
        <v>14.481883056778999</v>
      </c>
      <c r="G3" s="433"/>
      <c r="H3" s="419"/>
      <c r="I3" s="434"/>
      <c r="J3" s="435"/>
      <c r="K3" s="436"/>
      <c r="L3" s="437"/>
      <c r="M3" s="438"/>
      <c r="N3" s="439">
        <v>14.481883056799999</v>
      </c>
      <c r="O3" s="12">
        <v>0</v>
      </c>
      <c r="P3" s="440"/>
      <c r="Q3" s="441">
        <v>0</v>
      </c>
      <c r="R3" s="441">
        <v>0</v>
      </c>
      <c r="S3" s="441">
        <v>2.88036114513414</v>
      </c>
      <c r="T3" s="431">
        <v>1.9311367115190701</v>
      </c>
      <c r="U3" s="10">
        <v>9.6703853044675707</v>
      </c>
      <c r="V3" s="442"/>
    </row>
    <row r="4" spans="1:26" x14ac:dyDescent="0.25">
      <c r="A4" s="429">
        <v>3971</v>
      </c>
      <c r="B4" s="430" t="s">
        <v>59</v>
      </c>
      <c r="C4" s="430" t="s">
        <v>33</v>
      </c>
      <c r="D4" s="430">
        <v>18.812692183399999</v>
      </c>
      <c r="E4" s="432" t="s">
        <v>223</v>
      </c>
      <c r="F4" s="419">
        <v>18.812692183350499</v>
      </c>
      <c r="G4" s="433"/>
      <c r="H4" s="419"/>
      <c r="I4" s="434"/>
      <c r="J4" s="435"/>
      <c r="K4" s="436"/>
      <c r="L4" s="437"/>
      <c r="M4" s="438"/>
      <c r="N4" s="439">
        <v>18.812692183399999</v>
      </c>
      <c r="O4" s="12">
        <v>0</v>
      </c>
      <c r="P4" s="440">
        <v>9.0300748297176394</v>
      </c>
      <c r="Q4" s="441">
        <v>9.2710687115611208</v>
      </c>
      <c r="R4" s="441">
        <v>9.5416232782401504</v>
      </c>
      <c r="S4" s="441">
        <v>0</v>
      </c>
      <c r="T4" s="431">
        <v>0</v>
      </c>
      <c r="U4" s="10">
        <v>0</v>
      </c>
      <c r="V4" s="442"/>
    </row>
    <row r="5" spans="1:26" x14ac:dyDescent="0.25">
      <c r="A5" s="429">
        <v>3972</v>
      </c>
      <c r="B5" s="430" t="s">
        <v>59</v>
      </c>
      <c r="C5" s="430" t="s">
        <v>33</v>
      </c>
      <c r="D5" s="430">
        <v>19.719427230600001</v>
      </c>
      <c r="E5" s="432" t="s">
        <v>219</v>
      </c>
      <c r="F5" s="419">
        <v>16.387995948562601</v>
      </c>
      <c r="G5" s="433"/>
      <c r="H5" s="419"/>
      <c r="I5" s="434"/>
      <c r="J5" s="435"/>
      <c r="K5" s="436"/>
      <c r="L5" s="437"/>
      <c r="M5" s="438">
        <v>1.2555100841401501</v>
      </c>
      <c r="N5" s="439">
        <v>16.387995134247799</v>
      </c>
      <c r="O5" s="12">
        <v>3.3314320963521702</v>
      </c>
      <c r="P5" s="440">
        <v>1.0613297171251399</v>
      </c>
      <c r="Q5" s="441">
        <v>0</v>
      </c>
      <c r="R5" s="441">
        <v>0</v>
      </c>
      <c r="S5" s="441">
        <v>2.9784921103479198</v>
      </c>
      <c r="T5" s="431">
        <v>3.7737453878195</v>
      </c>
      <c r="U5" s="10">
        <v>12.9671898163877</v>
      </c>
      <c r="V5" s="442"/>
    </row>
    <row r="6" spans="1:26" x14ac:dyDescent="0.25">
      <c r="A6" s="429">
        <v>3973</v>
      </c>
      <c r="B6" s="430" t="s">
        <v>59</v>
      </c>
      <c r="C6" s="430" t="s">
        <v>33</v>
      </c>
      <c r="D6" s="430">
        <v>38.953108282099997</v>
      </c>
      <c r="E6" s="432" t="s">
        <v>227</v>
      </c>
      <c r="F6" s="419">
        <v>38.953108282098398</v>
      </c>
      <c r="G6" s="433"/>
      <c r="H6" s="419"/>
      <c r="I6" s="434"/>
      <c r="J6" s="435"/>
      <c r="K6" s="436"/>
      <c r="L6" s="437"/>
      <c r="M6" s="438"/>
      <c r="N6" s="439">
        <v>38.953108282099997</v>
      </c>
      <c r="O6" s="12">
        <v>0</v>
      </c>
      <c r="P6" s="440">
        <v>20.638173979834502</v>
      </c>
      <c r="Q6" s="441">
        <v>0</v>
      </c>
      <c r="R6" s="441">
        <v>18.0244883226304</v>
      </c>
      <c r="S6" s="441">
        <v>11.245269643333501</v>
      </c>
      <c r="T6" s="431">
        <v>0.238791544880634</v>
      </c>
      <c r="U6" s="10">
        <v>9.44455851480161</v>
      </c>
      <c r="V6" s="442"/>
    </row>
    <row r="7" spans="1:26" x14ac:dyDescent="0.25">
      <c r="A7" s="429">
        <v>3976</v>
      </c>
      <c r="B7" s="430" t="s">
        <v>59</v>
      </c>
      <c r="C7" s="430" t="s">
        <v>33</v>
      </c>
      <c r="D7" s="430">
        <v>5.1043456698399998</v>
      </c>
      <c r="E7" s="432" t="s">
        <v>227</v>
      </c>
      <c r="F7" s="419">
        <v>5.1043456698418304</v>
      </c>
      <c r="G7" s="433"/>
      <c r="H7" s="419"/>
      <c r="I7" s="434"/>
      <c r="J7" s="435"/>
      <c r="K7" s="436"/>
      <c r="L7" s="437"/>
      <c r="M7" s="438"/>
      <c r="N7" s="439">
        <v>5.1043456698399998</v>
      </c>
      <c r="O7" s="12">
        <v>0</v>
      </c>
      <c r="P7" s="440">
        <v>6.1365154655427898E-2</v>
      </c>
      <c r="Q7" s="441">
        <v>6.1363023555512E-2</v>
      </c>
      <c r="R7" s="441">
        <v>4.8544818419719196</v>
      </c>
      <c r="S7" s="441">
        <v>0</v>
      </c>
      <c r="T7" s="431">
        <v>0.188500806329193</v>
      </c>
      <c r="U7" s="10">
        <v>0</v>
      </c>
      <c r="V7" s="442"/>
    </row>
    <row r="8" spans="1:26" x14ac:dyDescent="0.25">
      <c r="A8" s="429">
        <v>3978</v>
      </c>
      <c r="B8" s="430" t="s">
        <v>59</v>
      </c>
      <c r="C8" s="430" t="s">
        <v>33</v>
      </c>
      <c r="D8" s="430">
        <v>10.298405541899999</v>
      </c>
      <c r="E8" s="432" t="s">
        <v>229</v>
      </c>
      <c r="F8" s="419">
        <v>10.2984055419328</v>
      </c>
      <c r="G8" s="433"/>
      <c r="H8" s="419"/>
      <c r="I8" s="434"/>
      <c r="J8" s="435"/>
      <c r="K8" s="436"/>
      <c r="L8" s="437"/>
      <c r="M8" s="438"/>
      <c r="N8" s="439">
        <v>-3.2800429039525599E-11</v>
      </c>
      <c r="O8" s="12">
        <v>10.2984055419328</v>
      </c>
      <c r="P8" s="440">
        <v>2.6507155866221801</v>
      </c>
      <c r="Q8" s="441">
        <v>0</v>
      </c>
      <c r="R8" s="441">
        <v>6.3268061873766701</v>
      </c>
      <c r="S8" s="441">
        <v>3.9715992252981702</v>
      </c>
      <c r="T8" s="431">
        <v>0</v>
      </c>
      <c r="U8" s="10">
        <v>0</v>
      </c>
      <c r="V8" s="442"/>
      <c r="Y8" s="420"/>
    </row>
    <row r="9" spans="1:26" x14ac:dyDescent="0.25">
      <c r="A9" s="429">
        <v>3979</v>
      </c>
      <c r="B9" s="430" t="s">
        <v>59</v>
      </c>
      <c r="C9" s="430" t="s">
        <v>33</v>
      </c>
      <c r="D9" s="430">
        <v>24.593497730599999</v>
      </c>
      <c r="E9" s="432" t="s">
        <v>223</v>
      </c>
      <c r="F9" s="419">
        <v>24.5934977305552</v>
      </c>
      <c r="G9" s="433"/>
      <c r="H9" s="419"/>
      <c r="I9" s="434"/>
      <c r="J9" s="435"/>
      <c r="K9" s="436"/>
      <c r="L9" s="437"/>
      <c r="M9" s="438"/>
      <c r="N9" s="439">
        <v>24.593497730599999</v>
      </c>
      <c r="O9" s="12">
        <v>0</v>
      </c>
      <c r="P9" s="440">
        <v>8.8941817649934691</v>
      </c>
      <c r="Q9" s="441">
        <v>6.7369201262696603E-4</v>
      </c>
      <c r="R9" s="441">
        <v>10.2566047949298</v>
      </c>
      <c r="S9" s="441">
        <v>8.7486171797077006</v>
      </c>
      <c r="T9" s="431">
        <v>4.9334057074171298</v>
      </c>
      <c r="U9" s="10">
        <v>0.65419622255289001</v>
      </c>
      <c r="V9" s="442"/>
      <c r="Y9" s="420"/>
    </row>
    <row r="10" spans="1:26" x14ac:dyDescent="0.25">
      <c r="A10" s="429">
        <v>3984</v>
      </c>
      <c r="B10" s="430" t="s">
        <v>59</v>
      </c>
      <c r="C10" s="430" t="s">
        <v>33</v>
      </c>
      <c r="D10" s="430">
        <v>11.309245741</v>
      </c>
      <c r="E10" s="432" t="s">
        <v>227</v>
      </c>
      <c r="F10" s="419">
        <v>11.309245740996699</v>
      </c>
      <c r="G10" s="433"/>
      <c r="H10" s="419"/>
      <c r="I10" s="434"/>
      <c r="J10" s="435"/>
      <c r="K10" s="436"/>
      <c r="L10" s="437"/>
      <c r="M10" s="438"/>
      <c r="N10" s="439">
        <v>11.309245741</v>
      </c>
      <c r="O10" s="12">
        <v>0</v>
      </c>
      <c r="P10" s="440"/>
      <c r="Q10" s="441">
        <v>0</v>
      </c>
      <c r="R10" s="441">
        <v>3.5503830133327998</v>
      </c>
      <c r="S10" s="441">
        <v>5.78292433192739</v>
      </c>
      <c r="T10" s="431">
        <v>0</v>
      </c>
      <c r="U10" s="10">
        <v>1.97593812733653</v>
      </c>
      <c r="V10" s="442"/>
    </row>
    <row r="11" spans="1:26" x14ac:dyDescent="0.25">
      <c r="A11" s="429">
        <v>3987</v>
      </c>
      <c r="B11" s="430" t="s">
        <v>59</v>
      </c>
      <c r="C11" s="430" t="s">
        <v>33</v>
      </c>
      <c r="D11" s="430">
        <v>40.959701187100002</v>
      </c>
      <c r="E11" s="432"/>
      <c r="F11" s="419"/>
      <c r="G11" s="433"/>
      <c r="H11" s="419"/>
      <c r="I11" s="434"/>
      <c r="J11" s="435"/>
      <c r="K11" s="436" t="s">
        <v>126</v>
      </c>
      <c r="L11" s="437">
        <v>36471.073203040003</v>
      </c>
      <c r="M11" s="438"/>
      <c r="N11" s="439">
        <v>-2.44995135290083E-11</v>
      </c>
      <c r="O11" s="12">
        <v>40.959701187124502</v>
      </c>
      <c r="P11" s="440">
        <v>1.33620750128045</v>
      </c>
      <c r="Q11" s="441">
        <v>0</v>
      </c>
      <c r="R11" s="441">
        <v>5.1593882994789102E-5</v>
      </c>
      <c r="S11" s="441">
        <v>12.030040509053601</v>
      </c>
      <c r="T11" s="431">
        <v>28.929610010897001</v>
      </c>
      <c r="U11" s="10">
        <v>0</v>
      </c>
      <c r="V11" s="442"/>
      <c r="Z11" s="420"/>
    </row>
    <row r="12" spans="1:26" x14ac:dyDescent="0.25">
      <c r="A12" s="429">
        <v>3988</v>
      </c>
      <c r="B12" s="430" t="s">
        <v>59</v>
      </c>
      <c r="C12" s="430" t="s">
        <v>33</v>
      </c>
      <c r="D12" s="430">
        <v>14.3859795713</v>
      </c>
      <c r="E12" s="432" t="s">
        <v>223</v>
      </c>
      <c r="F12" s="419">
        <v>14.385979571320901</v>
      </c>
      <c r="G12" s="443"/>
      <c r="H12" s="419"/>
      <c r="I12" s="434"/>
      <c r="J12" s="435"/>
      <c r="K12" s="436"/>
      <c r="L12" s="437"/>
      <c r="M12" s="438"/>
      <c r="N12" s="439">
        <v>14.3859795713</v>
      </c>
      <c r="O12" s="12">
        <v>0</v>
      </c>
      <c r="P12" s="440"/>
      <c r="Q12" s="441">
        <v>10.3338487019239</v>
      </c>
      <c r="R12" s="441">
        <v>4.0521307759624996</v>
      </c>
      <c r="S12" s="441">
        <v>0</v>
      </c>
      <c r="T12" s="431">
        <v>0</v>
      </c>
      <c r="U12" s="10">
        <v>0</v>
      </c>
      <c r="V12" s="442"/>
      <c r="Z12" s="420"/>
    </row>
    <row r="13" spans="1:26" x14ac:dyDescent="0.25">
      <c r="A13" s="429">
        <v>3990</v>
      </c>
      <c r="B13" s="430" t="s">
        <v>59</v>
      </c>
      <c r="C13" s="430" t="s">
        <v>33</v>
      </c>
      <c r="D13" s="430">
        <v>18.701655241000001</v>
      </c>
      <c r="E13" s="432"/>
      <c r="F13" s="419"/>
      <c r="G13" s="433"/>
      <c r="H13" s="419"/>
      <c r="I13" s="434"/>
      <c r="J13" s="435"/>
      <c r="K13" s="436" t="s">
        <v>126</v>
      </c>
      <c r="L13" s="437">
        <v>36471.073203040003</v>
      </c>
      <c r="M13" s="438"/>
      <c r="N13" s="439">
        <v>2.7402080604588299E-11</v>
      </c>
      <c r="O13" s="12">
        <v>18.701655240972599</v>
      </c>
      <c r="P13" s="440"/>
      <c r="Q13" s="441">
        <v>0</v>
      </c>
      <c r="R13" s="441">
        <v>0</v>
      </c>
      <c r="S13" s="441">
        <v>17.328806833629098</v>
      </c>
      <c r="T13" s="431">
        <v>1.3728486629693699</v>
      </c>
      <c r="U13" s="10">
        <v>0</v>
      </c>
      <c r="V13" s="442"/>
      <c r="Z13" s="420"/>
    </row>
    <row r="14" spans="1:26" x14ac:dyDescent="0.25">
      <c r="A14" s="429">
        <v>4009</v>
      </c>
      <c r="B14" s="430" t="s">
        <v>59</v>
      </c>
      <c r="C14" s="430" t="s">
        <v>33</v>
      </c>
      <c r="D14" s="430">
        <v>16.9961090105</v>
      </c>
      <c r="E14" s="432" t="s">
        <v>229</v>
      </c>
      <c r="F14" s="419">
        <v>16.996109010456099</v>
      </c>
      <c r="G14" s="433"/>
      <c r="H14" s="419"/>
      <c r="I14" s="434">
        <v>4.04</v>
      </c>
      <c r="J14" s="435"/>
      <c r="K14" s="436"/>
      <c r="L14" s="437"/>
      <c r="M14" s="438"/>
      <c r="N14" s="439">
        <v>16.9961090105</v>
      </c>
      <c r="O14" s="12">
        <v>0</v>
      </c>
      <c r="P14" s="440"/>
      <c r="Q14" s="441">
        <v>0</v>
      </c>
      <c r="R14" s="441">
        <v>0</v>
      </c>
      <c r="S14" s="441">
        <v>7.3333975719442002</v>
      </c>
      <c r="T14" s="431">
        <v>3.6411802981144099</v>
      </c>
      <c r="U14" s="10">
        <v>6.02153221046997</v>
      </c>
      <c r="V14" s="442"/>
      <c r="Z14" s="420"/>
    </row>
    <row r="15" spans="1:26" x14ac:dyDescent="0.25">
      <c r="A15" s="429">
        <v>4024</v>
      </c>
      <c r="B15" s="430" t="s">
        <v>59</v>
      </c>
      <c r="C15" s="430" t="s">
        <v>33</v>
      </c>
      <c r="D15" s="430">
        <v>15.005460128499999</v>
      </c>
      <c r="E15" s="432" t="s">
        <v>229</v>
      </c>
      <c r="F15" s="419">
        <v>12.8252821012036</v>
      </c>
      <c r="G15" s="433"/>
      <c r="H15" s="419"/>
      <c r="I15" s="434">
        <v>0.12</v>
      </c>
      <c r="J15" s="435"/>
      <c r="K15" s="436"/>
      <c r="L15" s="437"/>
      <c r="M15" s="438">
        <v>2.1801780272521998</v>
      </c>
      <c r="N15" s="439">
        <v>12.825282101247801</v>
      </c>
      <c r="O15" s="12">
        <v>2.1801780272521998</v>
      </c>
      <c r="P15" s="440">
        <v>12.7627028482706</v>
      </c>
      <c r="Q15" s="441">
        <v>0</v>
      </c>
      <c r="R15" s="441">
        <v>0</v>
      </c>
      <c r="S15" s="441">
        <v>13.580584204602401</v>
      </c>
      <c r="T15" s="431">
        <v>0</v>
      </c>
      <c r="U15" s="10">
        <v>1.42487556889265</v>
      </c>
      <c r="V15" s="442"/>
      <c r="Z15" s="420"/>
    </row>
    <row r="16" spans="1:26" x14ac:dyDescent="0.25">
      <c r="A16" s="429">
        <v>4030</v>
      </c>
      <c r="B16" s="430" t="s">
        <v>59</v>
      </c>
      <c r="C16" s="430" t="s">
        <v>33</v>
      </c>
      <c r="D16" s="430">
        <v>12.938322082899999</v>
      </c>
      <c r="E16" s="432" t="s">
        <v>229</v>
      </c>
      <c r="F16" s="419">
        <v>12.9383220829357</v>
      </c>
      <c r="G16" s="433"/>
      <c r="H16" s="419"/>
      <c r="I16" s="434">
        <v>10.55</v>
      </c>
      <c r="J16" s="435"/>
      <c r="K16" s="436"/>
      <c r="L16" s="437"/>
      <c r="M16" s="438"/>
      <c r="N16" s="439">
        <v>12.938322082899999</v>
      </c>
      <c r="O16" s="12">
        <v>0</v>
      </c>
      <c r="P16" s="440"/>
      <c r="Q16" s="441">
        <v>0</v>
      </c>
      <c r="R16" s="441">
        <v>0</v>
      </c>
      <c r="S16" s="441">
        <v>0</v>
      </c>
      <c r="T16" s="431">
        <v>11.734783392465999</v>
      </c>
      <c r="U16" s="10">
        <v>1.2035384586343401</v>
      </c>
      <c r="V16" s="442"/>
      <c r="Z16" s="420"/>
    </row>
    <row r="17" spans="1:26" x14ac:dyDescent="0.25">
      <c r="A17" s="429">
        <v>4090</v>
      </c>
      <c r="B17" s="430" t="s">
        <v>59</v>
      </c>
      <c r="C17" s="430" t="s">
        <v>38</v>
      </c>
      <c r="D17" s="430">
        <v>8.5968966821200006</v>
      </c>
      <c r="E17" s="432" t="s">
        <v>223</v>
      </c>
      <c r="F17" s="419">
        <v>3.6538793121337201</v>
      </c>
      <c r="G17" s="433"/>
      <c r="H17" s="419"/>
      <c r="I17" s="434"/>
      <c r="J17" s="435">
        <v>1.07260810939331</v>
      </c>
      <c r="K17" s="436"/>
      <c r="L17" s="437"/>
      <c r="M17" s="438">
        <v>4.9374804911170402</v>
      </c>
      <c r="N17" s="439">
        <v>3.6538791835898699</v>
      </c>
      <c r="O17" s="12">
        <v>4.9430174985301303</v>
      </c>
      <c r="P17" s="440"/>
      <c r="Q17" s="441">
        <v>0</v>
      </c>
      <c r="R17" s="441">
        <v>8.5968966821183201</v>
      </c>
      <c r="S17" s="441">
        <v>0</v>
      </c>
      <c r="T17" s="431">
        <v>0</v>
      </c>
      <c r="U17" s="10">
        <v>0</v>
      </c>
      <c r="V17" s="442"/>
      <c r="Z17" s="420"/>
    </row>
    <row r="18" spans="1:26" x14ac:dyDescent="0.25">
      <c r="A18" s="429">
        <v>4091</v>
      </c>
      <c r="B18" s="430" t="s">
        <v>59</v>
      </c>
      <c r="C18" s="430" t="s">
        <v>38</v>
      </c>
      <c r="D18" s="430">
        <v>14.2371910722</v>
      </c>
      <c r="E18" s="432" t="s">
        <v>227</v>
      </c>
      <c r="F18" s="419">
        <v>14.2371910722258</v>
      </c>
      <c r="G18" s="433"/>
      <c r="H18" s="419"/>
      <c r="I18" s="434">
        <v>7.16</v>
      </c>
      <c r="J18" s="435"/>
      <c r="K18" s="436"/>
      <c r="L18" s="437"/>
      <c r="M18" s="438"/>
      <c r="N18" s="439">
        <v>14.2371910722</v>
      </c>
      <c r="O18" s="12">
        <v>0</v>
      </c>
      <c r="P18" s="440">
        <v>4.5494921556205403</v>
      </c>
      <c r="Q18" s="441">
        <v>0.30863804958390301</v>
      </c>
      <c r="R18" s="441">
        <v>10.775507476376401</v>
      </c>
      <c r="S18" s="441">
        <v>0</v>
      </c>
      <c r="T18" s="431">
        <v>0</v>
      </c>
      <c r="U18" s="10">
        <v>3.1530452250188099</v>
      </c>
      <c r="V18" s="442"/>
      <c r="Z18" s="420"/>
    </row>
    <row r="19" spans="1:26" x14ac:dyDescent="0.25">
      <c r="A19" s="429">
        <v>4092</v>
      </c>
      <c r="B19" s="430" t="s">
        <v>59</v>
      </c>
      <c r="C19" s="430" t="s">
        <v>38</v>
      </c>
      <c r="D19" s="430">
        <v>9.0834502585199992</v>
      </c>
      <c r="E19" s="432" t="s">
        <v>223</v>
      </c>
      <c r="F19" s="419">
        <v>8.7874318655586805</v>
      </c>
      <c r="G19" s="433"/>
      <c r="H19" s="419"/>
      <c r="I19" s="434"/>
      <c r="J19" s="435"/>
      <c r="K19" s="436"/>
      <c r="L19" s="437"/>
      <c r="M19" s="438">
        <v>0.29601834131060101</v>
      </c>
      <c r="N19" s="439">
        <v>8.7874319172093998</v>
      </c>
      <c r="O19" s="12">
        <v>0.29601834131060101</v>
      </c>
      <c r="P19" s="440">
        <v>6.3997386878247102</v>
      </c>
      <c r="Q19" s="441">
        <v>0</v>
      </c>
      <c r="R19" s="441">
        <v>6.3970765764656203</v>
      </c>
      <c r="S19" s="441">
        <v>1.62679045380437E-2</v>
      </c>
      <c r="T19" s="431">
        <v>2.6701059051555598</v>
      </c>
      <c r="U19" s="10">
        <v>0</v>
      </c>
      <c r="V19" s="442"/>
      <c r="Z19" s="420"/>
    </row>
    <row r="20" spans="1:26" x14ac:dyDescent="0.25">
      <c r="A20" s="429">
        <v>4093</v>
      </c>
      <c r="B20" s="430" t="s">
        <v>59</v>
      </c>
      <c r="C20" s="430" t="s">
        <v>38</v>
      </c>
      <c r="D20" s="430">
        <v>9.75579899345</v>
      </c>
      <c r="E20" s="432" t="s">
        <v>403</v>
      </c>
      <c r="F20" s="419">
        <v>7.4537445451374698</v>
      </c>
      <c r="G20" s="433" t="s">
        <v>403</v>
      </c>
      <c r="H20" s="419">
        <v>7.4537445451374698</v>
      </c>
      <c r="I20" s="434">
        <v>7.8</v>
      </c>
      <c r="J20" s="435"/>
      <c r="K20" s="436"/>
      <c r="L20" s="437"/>
      <c r="M20" s="438"/>
      <c r="N20" s="439">
        <v>9.75579899345</v>
      </c>
      <c r="O20" s="12">
        <v>0</v>
      </c>
      <c r="P20" s="440"/>
      <c r="Q20" s="441">
        <v>0</v>
      </c>
      <c r="R20" s="441">
        <v>2.2352623160971299</v>
      </c>
      <c r="S20" s="441">
        <v>0</v>
      </c>
      <c r="T20" s="431">
        <v>0</v>
      </c>
      <c r="U20" s="10">
        <v>7.5205367200898499</v>
      </c>
      <c r="V20" s="442"/>
      <c r="Z20" s="420"/>
    </row>
    <row r="21" spans="1:26" x14ac:dyDescent="0.25">
      <c r="A21" s="429">
        <v>4094</v>
      </c>
      <c r="B21" s="430" t="s">
        <v>59</v>
      </c>
      <c r="C21" s="430" t="s">
        <v>38</v>
      </c>
      <c r="D21" s="430">
        <v>9.1263050897699998</v>
      </c>
      <c r="E21" s="432" t="s">
        <v>227</v>
      </c>
      <c r="F21" s="419">
        <v>9.12630508977227</v>
      </c>
      <c r="G21" s="433"/>
      <c r="H21" s="419"/>
      <c r="I21" s="434">
        <v>9.73</v>
      </c>
      <c r="J21" s="435">
        <v>2.6447255415730302</v>
      </c>
      <c r="K21" s="436"/>
      <c r="L21" s="437"/>
      <c r="M21" s="438"/>
      <c r="N21" s="439">
        <v>9.1263050897699998</v>
      </c>
      <c r="O21" s="12">
        <v>0</v>
      </c>
      <c r="P21" s="440">
        <v>3.0501656548658999E-2</v>
      </c>
      <c r="Q21" s="441">
        <v>0</v>
      </c>
      <c r="R21" s="441">
        <v>0.87875185481704798</v>
      </c>
      <c r="S21" s="441">
        <v>2.3947300595024701</v>
      </c>
      <c r="T21" s="431">
        <v>0</v>
      </c>
      <c r="U21" s="10">
        <v>5.8528237237400997</v>
      </c>
      <c r="V21" s="442"/>
      <c r="Z21" s="420"/>
    </row>
    <row r="22" spans="1:26" x14ac:dyDescent="0.25">
      <c r="A22" s="429">
        <v>4095</v>
      </c>
      <c r="B22" s="430" t="s">
        <v>59</v>
      </c>
      <c r="C22" s="430" t="s">
        <v>38</v>
      </c>
      <c r="D22" s="430">
        <v>21.2788684846</v>
      </c>
      <c r="E22" s="432" t="s">
        <v>229</v>
      </c>
      <c r="F22" s="419">
        <v>21.278868484560899</v>
      </c>
      <c r="G22" s="433"/>
      <c r="H22" s="419"/>
      <c r="I22" s="434"/>
      <c r="J22" s="435"/>
      <c r="K22" s="436"/>
      <c r="L22" s="437"/>
      <c r="M22" s="438"/>
      <c r="N22" s="439">
        <v>21.2788684846</v>
      </c>
      <c r="O22" s="12">
        <v>0</v>
      </c>
      <c r="P22" s="440"/>
      <c r="Q22" s="441">
        <v>0</v>
      </c>
      <c r="R22" s="441">
        <v>0</v>
      </c>
      <c r="S22" s="441">
        <v>5.5292989246900497</v>
      </c>
      <c r="T22" s="431">
        <v>15.2977250325636</v>
      </c>
      <c r="U22" s="10">
        <v>0.451844766883303</v>
      </c>
      <c r="V22" s="442"/>
      <c r="Z22" s="420"/>
    </row>
    <row r="23" spans="1:26" x14ac:dyDescent="0.25">
      <c r="A23" s="429">
        <v>4098</v>
      </c>
      <c r="B23" s="430" t="s">
        <v>59</v>
      </c>
      <c r="C23" s="430" t="s">
        <v>38</v>
      </c>
      <c r="D23" s="430">
        <v>20.944487884699999</v>
      </c>
      <c r="E23" s="432" t="s">
        <v>229</v>
      </c>
      <c r="F23" s="419">
        <v>20.9444878846693</v>
      </c>
      <c r="G23" s="433"/>
      <c r="H23" s="419"/>
      <c r="I23" s="434">
        <v>4.8899999999999997</v>
      </c>
      <c r="J23" s="435">
        <v>18.536814505625902</v>
      </c>
      <c r="K23" s="436"/>
      <c r="L23" s="437"/>
      <c r="M23" s="438"/>
      <c r="N23" s="439">
        <v>20.944487884699999</v>
      </c>
      <c r="O23" s="12">
        <v>0</v>
      </c>
      <c r="P23" s="440"/>
      <c r="Q23" s="441">
        <v>0</v>
      </c>
      <c r="R23" s="441">
        <v>12.884856128388099</v>
      </c>
      <c r="S23" s="441">
        <v>1.91984985431831</v>
      </c>
      <c r="T23" s="431">
        <v>0.51828821748751497</v>
      </c>
      <c r="U23" s="10">
        <v>5.6214936514141902</v>
      </c>
      <c r="V23" s="442"/>
      <c r="Z23" s="420"/>
    </row>
    <row r="24" spans="1:26" x14ac:dyDescent="0.25">
      <c r="A24" s="429">
        <v>4102</v>
      </c>
      <c r="B24" s="430" t="s">
        <v>59</v>
      </c>
      <c r="C24" s="430" t="s">
        <v>38</v>
      </c>
      <c r="D24" s="430">
        <v>14.443702141999999</v>
      </c>
      <c r="E24" s="432" t="s">
        <v>227</v>
      </c>
      <c r="F24" s="419">
        <v>14.443702141957701</v>
      </c>
      <c r="G24" s="433"/>
      <c r="H24" s="419"/>
      <c r="I24" s="434"/>
      <c r="J24" s="435"/>
      <c r="K24" s="436"/>
      <c r="L24" s="437"/>
      <c r="M24" s="438"/>
      <c r="N24" s="439">
        <v>14.443702141999999</v>
      </c>
      <c r="O24" s="12">
        <v>0</v>
      </c>
      <c r="P24" s="440"/>
      <c r="Q24" s="441">
        <v>10.080323738148801</v>
      </c>
      <c r="R24" s="441">
        <v>0</v>
      </c>
      <c r="S24" s="441">
        <v>8.7064454942714906E-2</v>
      </c>
      <c r="T24" s="431">
        <v>4.27631368808788</v>
      </c>
      <c r="U24" s="10">
        <v>0</v>
      </c>
      <c r="V24" s="442"/>
      <c r="Z24" s="420"/>
    </row>
    <row r="25" spans="1:26" x14ac:dyDescent="0.25">
      <c r="A25" s="429">
        <v>4103</v>
      </c>
      <c r="B25" s="430" t="s">
        <v>59</v>
      </c>
      <c r="C25" s="430" t="s">
        <v>38</v>
      </c>
      <c r="D25" s="430">
        <v>13.9867070513</v>
      </c>
      <c r="E25" s="432" t="s">
        <v>227</v>
      </c>
      <c r="F25" s="419">
        <v>13.9867070512675</v>
      </c>
      <c r="G25" s="433"/>
      <c r="H25" s="419"/>
      <c r="I25" s="434">
        <v>5.36</v>
      </c>
      <c r="J25" s="435"/>
      <c r="K25" s="436"/>
      <c r="L25" s="437"/>
      <c r="M25" s="438"/>
      <c r="N25" s="439">
        <v>13.9867070513</v>
      </c>
      <c r="O25" s="12">
        <v>0</v>
      </c>
      <c r="P25" s="440"/>
      <c r="Q25" s="441">
        <v>2.0701452685438602</v>
      </c>
      <c r="R25" s="441">
        <v>5.5545002303772897</v>
      </c>
      <c r="S25" s="441">
        <v>1.6074392182447199</v>
      </c>
      <c r="T25" s="431">
        <v>1.4614648050922401</v>
      </c>
      <c r="U25" s="10">
        <v>3.2931566706377202</v>
      </c>
      <c r="V25" s="442"/>
      <c r="Z25" s="476"/>
    </row>
    <row r="26" spans="1:26" x14ac:dyDescent="0.25">
      <c r="A26" s="429">
        <v>4104</v>
      </c>
      <c r="B26" s="430" t="s">
        <v>59</v>
      </c>
      <c r="C26" s="430" t="s">
        <v>38</v>
      </c>
      <c r="D26" s="430">
        <v>32.769778052600003</v>
      </c>
      <c r="E26" s="432" t="s">
        <v>229</v>
      </c>
      <c r="F26" s="419">
        <v>19.025807163678301</v>
      </c>
      <c r="G26" s="433" t="s">
        <v>229</v>
      </c>
      <c r="H26" s="419">
        <v>19.025807163678301</v>
      </c>
      <c r="I26" s="434"/>
      <c r="J26" s="435"/>
      <c r="K26" s="436" t="s">
        <v>404</v>
      </c>
      <c r="L26" s="437">
        <v>49.4332199627612</v>
      </c>
      <c r="M26" s="438"/>
      <c r="N26" s="439">
        <v>32.678550889177302</v>
      </c>
      <c r="O26" s="12">
        <v>9.12271634227491E-2</v>
      </c>
      <c r="P26" s="440"/>
      <c r="Q26" s="441">
        <v>0</v>
      </c>
      <c r="R26" s="441">
        <v>19.814080983542901</v>
      </c>
      <c r="S26" s="441">
        <v>12.0610046153234</v>
      </c>
      <c r="T26" s="431">
        <v>0.89469180843432194</v>
      </c>
      <c r="U26" s="10">
        <v>0</v>
      </c>
      <c r="V26" s="442"/>
      <c r="Z26" s="420"/>
    </row>
    <row r="27" spans="1:26" x14ac:dyDescent="0.25">
      <c r="A27" s="429">
        <v>4105</v>
      </c>
      <c r="B27" s="430" t="s">
        <v>59</v>
      </c>
      <c r="C27" s="430" t="s">
        <v>38</v>
      </c>
      <c r="D27" s="430">
        <v>14.8959070453</v>
      </c>
      <c r="E27" s="432" t="s">
        <v>229</v>
      </c>
      <c r="F27" s="419">
        <v>14.895907045306499</v>
      </c>
      <c r="G27" s="433"/>
      <c r="H27" s="419"/>
      <c r="I27" s="434"/>
      <c r="J27" s="435"/>
      <c r="K27" s="436"/>
      <c r="L27" s="437"/>
      <c r="M27" s="438"/>
      <c r="N27" s="439">
        <v>14.8959070453</v>
      </c>
      <c r="O27" s="12">
        <v>0</v>
      </c>
      <c r="P27" s="440">
        <v>3.6228923176979497E-2</v>
      </c>
      <c r="Q27" s="441">
        <v>0</v>
      </c>
      <c r="R27" s="441">
        <v>1.82605204779354</v>
      </c>
      <c r="S27" s="441">
        <v>0.788044454149464</v>
      </c>
      <c r="T27" s="431">
        <v>6.8663517245074601</v>
      </c>
      <c r="U27" s="10">
        <v>5.4154590478392599</v>
      </c>
      <c r="V27" s="442"/>
      <c r="Z27" s="420"/>
    </row>
    <row r="28" spans="1:26" x14ac:dyDescent="0.25">
      <c r="A28" s="429">
        <v>4106</v>
      </c>
      <c r="B28" s="430" t="s">
        <v>59</v>
      </c>
      <c r="C28" s="430" t="s">
        <v>38</v>
      </c>
      <c r="D28" s="430">
        <v>9.0874745434800008</v>
      </c>
      <c r="E28" s="432" t="s">
        <v>223</v>
      </c>
      <c r="F28" s="419">
        <v>9.0874745434844009</v>
      </c>
      <c r="G28" s="433"/>
      <c r="H28" s="419"/>
      <c r="I28" s="434">
        <v>0.45</v>
      </c>
      <c r="J28" s="435"/>
      <c r="K28" s="436"/>
      <c r="L28" s="437"/>
      <c r="M28" s="438"/>
      <c r="N28" s="439">
        <v>9.0874745434800008</v>
      </c>
      <c r="O28" s="12">
        <v>0</v>
      </c>
      <c r="P28" s="440"/>
      <c r="Q28" s="441">
        <v>0</v>
      </c>
      <c r="R28" s="441">
        <v>6.9552094545137297</v>
      </c>
      <c r="S28" s="441">
        <v>0.81862744447326596</v>
      </c>
      <c r="T28" s="431">
        <v>1.31363765577779</v>
      </c>
      <c r="U28" s="10">
        <v>0</v>
      </c>
      <c r="V28" s="442"/>
    </row>
    <row r="29" spans="1:26" x14ac:dyDescent="0.25">
      <c r="A29" s="429">
        <v>4143</v>
      </c>
      <c r="B29" s="430" t="s">
        <v>59</v>
      </c>
      <c r="C29" s="430" t="s">
        <v>38</v>
      </c>
      <c r="D29" s="430">
        <v>18.206572691000002</v>
      </c>
      <c r="E29" s="432" t="s">
        <v>223</v>
      </c>
      <c r="F29" s="419">
        <v>4.0579262096343296</v>
      </c>
      <c r="G29" s="433" t="s">
        <v>223</v>
      </c>
      <c r="H29" s="419">
        <v>4.0579262096343296</v>
      </c>
      <c r="I29" s="434">
        <v>6.58</v>
      </c>
      <c r="J29" s="435"/>
      <c r="K29" s="436"/>
      <c r="L29" s="437"/>
      <c r="M29" s="438"/>
      <c r="N29" s="439">
        <v>18.206572691000002</v>
      </c>
      <c r="O29" s="12">
        <v>0</v>
      </c>
      <c r="P29" s="440"/>
      <c r="Q29" s="441">
        <v>0</v>
      </c>
      <c r="R29" s="441">
        <v>2.25531263445682</v>
      </c>
      <c r="S29" s="441">
        <v>13.4472086003419</v>
      </c>
      <c r="T29" s="431">
        <v>1.1852394027298301</v>
      </c>
      <c r="U29" s="10">
        <v>1.31881241128184</v>
      </c>
      <c r="V29" s="442"/>
    </row>
    <row r="30" spans="1:26" x14ac:dyDescent="0.25">
      <c r="A30" s="429">
        <v>4222</v>
      </c>
      <c r="B30" s="430" t="s">
        <v>59</v>
      </c>
      <c r="C30" s="430" t="s">
        <v>40</v>
      </c>
      <c r="D30" s="430">
        <v>81.799305775600004</v>
      </c>
      <c r="E30" s="432" t="s">
        <v>223</v>
      </c>
      <c r="F30" s="419">
        <v>57.433637310812102</v>
      </c>
      <c r="G30" s="433"/>
      <c r="H30" s="419"/>
      <c r="I30" s="434"/>
      <c r="J30" s="435"/>
      <c r="K30" s="436"/>
      <c r="L30" s="437"/>
      <c r="M30" s="438">
        <v>1.4825159138706801E-3</v>
      </c>
      <c r="N30" s="439">
        <v>57.433636557389001</v>
      </c>
      <c r="O30" s="12">
        <v>24.365669218211</v>
      </c>
      <c r="P30" s="440">
        <v>9.5871725954716904</v>
      </c>
      <c r="Q30" s="441">
        <v>0</v>
      </c>
      <c r="R30" s="441">
        <v>69.231501834809194</v>
      </c>
      <c r="S30" s="441">
        <v>10.3993219664954</v>
      </c>
      <c r="T30" s="431">
        <v>0</v>
      </c>
      <c r="U30" s="10">
        <v>2.1684824071052602</v>
      </c>
      <c r="V30" s="442"/>
    </row>
    <row r="31" spans="1:26" x14ac:dyDescent="0.25">
      <c r="A31" s="429">
        <v>4238</v>
      </c>
      <c r="B31" s="430" t="s">
        <v>59</v>
      </c>
      <c r="C31" s="430" t="s">
        <v>41</v>
      </c>
      <c r="D31" s="430">
        <v>63.6068329732</v>
      </c>
      <c r="E31" s="432" t="s">
        <v>229</v>
      </c>
      <c r="F31" s="419">
        <v>61.300088227219</v>
      </c>
      <c r="G31" s="433"/>
      <c r="H31" s="419"/>
      <c r="I31" s="434">
        <v>33.729999999999997</v>
      </c>
      <c r="J31" s="435">
        <v>4.21537748424175</v>
      </c>
      <c r="K31" s="436"/>
      <c r="L31" s="437"/>
      <c r="M31" s="438">
        <v>2.3067447430286099</v>
      </c>
      <c r="N31" s="439">
        <v>61.300088230171397</v>
      </c>
      <c r="O31" s="12">
        <v>2.3067447430286099</v>
      </c>
      <c r="P31" s="440"/>
      <c r="Q31" s="441">
        <v>0</v>
      </c>
      <c r="R31" s="441">
        <v>2.3166331408141998</v>
      </c>
      <c r="S31" s="441">
        <v>15.3778344810682</v>
      </c>
      <c r="T31" s="431">
        <v>24.440992790235399</v>
      </c>
      <c r="U31" s="10">
        <v>21.4713720216313</v>
      </c>
      <c r="V31" s="442"/>
    </row>
    <row r="32" spans="1:26" x14ac:dyDescent="0.25">
      <c r="A32" s="429">
        <v>4240</v>
      </c>
      <c r="B32" s="430" t="s">
        <v>59</v>
      </c>
      <c r="C32" s="430" t="s">
        <v>41</v>
      </c>
      <c r="D32" s="430">
        <v>25.554486352200001</v>
      </c>
      <c r="E32" s="432" t="s">
        <v>229</v>
      </c>
      <c r="F32" s="419">
        <v>25.554486352151201</v>
      </c>
      <c r="G32" s="433"/>
      <c r="H32" s="419"/>
      <c r="I32" s="434">
        <v>8.26</v>
      </c>
      <c r="J32" s="435"/>
      <c r="K32" s="436"/>
      <c r="L32" s="437"/>
      <c r="M32" s="438"/>
      <c r="N32" s="439">
        <v>25.554486352200001</v>
      </c>
      <c r="O32" s="12">
        <v>0</v>
      </c>
      <c r="P32" s="440">
        <v>2.8283635867613701</v>
      </c>
      <c r="Q32" s="441">
        <v>0</v>
      </c>
      <c r="R32" s="441">
        <v>0</v>
      </c>
      <c r="S32" s="441">
        <v>4.7400078332366302</v>
      </c>
      <c r="T32" s="431">
        <v>19.060610014499499</v>
      </c>
      <c r="U32" s="10">
        <v>1.7538687799538999</v>
      </c>
      <c r="V32" s="442"/>
    </row>
    <row r="33" spans="1:22" x14ac:dyDescent="0.25">
      <c r="A33" s="429">
        <v>4243</v>
      </c>
      <c r="B33" s="430" t="s">
        <v>59</v>
      </c>
      <c r="C33" s="430" t="s">
        <v>41</v>
      </c>
      <c r="D33" s="430">
        <v>19.885685757299999</v>
      </c>
      <c r="E33" s="432"/>
      <c r="F33" s="419"/>
      <c r="G33" s="433"/>
      <c r="H33" s="419"/>
      <c r="I33" s="434"/>
      <c r="J33" s="435"/>
      <c r="K33" s="436" t="s">
        <v>126</v>
      </c>
      <c r="L33" s="437">
        <v>36471.073203040003</v>
      </c>
      <c r="M33" s="438"/>
      <c r="N33" s="439">
        <v>4.5698556050410798E-11</v>
      </c>
      <c r="O33" s="12">
        <v>19.885685757254301</v>
      </c>
      <c r="P33" s="440">
        <v>4.0059979078943799</v>
      </c>
      <c r="Q33" s="441">
        <v>0</v>
      </c>
      <c r="R33" s="441">
        <v>0.76485213907940197</v>
      </c>
      <c r="S33" s="441">
        <v>15.5194074116176</v>
      </c>
      <c r="T33" s="431">
        <v>3.6014270278909599</v>
      </c>
      <c r="U33" s="10">
        <v>0</v>
      </c>
      <c r="V33" s="442"/>
    </row>
    <row r="34" spans="1:22" x14ac:dyDescent="0.25">
      <c r="A34" s="364" t="s">
        <v>405</v>
      </c>
      <c r="B34" s="364" t="s">
        <v>59</v>
      </c>
      <c r="C34" s="449"/>
      <c r="D34" s="449">
        <f>SUM(D3:D33)</f>
        <v>649.51928350688024</v>
      </c>
      <c r="E34" s="450"/>
      <c r="F34" s="449">
        <f>SUM(F3:F33)</f>
        <v>502.3545112196025</v>
      </c>
      <c r="G34" s="449"/>
      <c r="H34" s="449">
        <f t="shared" ref="H34:U34" si="0">SUM(H3:H33)</f>
        <v>30.537477918450101</v>
      </c>
      <c r="I34" s="449">
        <f t="shared" si="0"/>
        <v>98.67</v>
      </c>
      <c r="J34" s="449">
        <f t="shared" si="0"/>
        <v>26.469525640833993</v>
      </c>
      <c r="K34" s="449"/>
      <c r="L34" s="449">
        <f t="shared" si="0"/>
        <v>109462.65282908277</v>
      </c>
      <c r="M34" s="449">
        <f t="shared" si="0"/>
        <v>10.977414202762471</v>
      </c>
      <c r="N34" s="449">
        <f t="shared" si="0"/>
        <v>522.15954869148845</v>
      </c>
      <c r="O34" s="449">
        <f t="shared" si="0"/>
        <v>127.35973481539165</v>
      </c>
      <c r="P34" s="449">
        <f t="shared" si="0"/>
        <v>83.872246895797744</v>
      </c>
      <c r="Q34" s="449">
        <f t="shared" si="0"/>
        <v>32.126061185329725</v>
      </c>
      <c r="R34" s="449">
        <f t="shared" si="0"/>
        <v>207.09306330797693</v>
      </c>
      <c r="S34" s="449">
        <f t="shared" si="0"/>
        <v>170.58619997792027</v>
      </c>
      <c r="T34" s="449">
        <f t="shared" si="0"/>
        <v>138.33085059487436</v>
      </c>
      <c r="U34" s="449">
        <f t="shared" si="0"/>
        <v>101.3831096491388</v>
      </c>
      <c r="V34" s="442"/>
    </row>
    <row r="35" spans="1:22" x14ac:dyDescent="0.25">
      <c r="A35" s="444"/>
      <c r="B35" s="10"/>
      <c r="C35" s="10"/>
      <c r="D35" s="10"/>
      <c r="E35" s="445"/>
      <c r="F35" s="10"/>
      <c r="G35" s="446"/>
      <c r="H35" s="10"/>
      <c r="I35" s="10"/>
      <c r="J35" s="10"/>
      <c r="K35" s="10"/>
      <c r="L35" s="447"/>
      <c r="M35" s="10"/>
      <c r="N35" s="445"/>
      <c r="O35" s="10"/>
      <c r="P35" s="10"/>
      <c r="Q35" s="10"/>
      <c r="R35" s="10"/>
      <c r="S35" s="10"/>
      <c r="T35" s="448"/>
      <c r="U35" s="10"/>
      <c r="V35" s="442"/>
    </row>
    <row r="36" spans="1:22" x14ac:dyDescent="0.25">
      <c r="A36" s="444"/>
      <c r="B36" s="10"/>
      <c r="C36" s="10"/>
      <c r="D36" s="10"/>
      <c r="E36" s="445"/>
      <c r="F36" s="10"/>
      <c r="G36" s="446"/>
      <c r="H36" s="10"/>
      <c r="I36" s="10"/>
      <c r="J36" s="10"/>
      <c r="K36" s="10"/>
      <c r="L36" s="447"/>
      <c r="M36" s="10"/>
      <c r="N36" s="445"/>
      <c r="O36" s="10"/>
      <c r="P36" s="10"/>
      <c r="Q36" s="10"/>
      <c r="R36" s="10"/>
      <c r="S36" s="10"/>
      <c r="T36" s="448"/>
      <c r="U36" s="10"/>
      <c r="V36" s="442"/>
    </row>
    <row r="37" spans="1:22" x14ac:dyDescent="0.25">
      <c r="A37" s="429">
        <v>4327</v>
      </c>
      <c r="B37" s="430" t="s">
        <v>32</v>
      </c>
      <c r="C37" s="430" t="s">
        <v>38</v>
      </c>
      <c r="D37" s="430">
        <v>18.9712509491</v>
      </c>
      <c r="E37" s="432" t="s">
        <v>219</v>
      </c>
      <c r="F37" s="419">
        <v>17.811755263084098</v>
      </c>
      <c r="G37" s="433" t="s">
        <v>219</v>
      </c>
      <c r="H37" s="419">
        <v>17.811755263084098</v>
      </c>
      <c r="I37" s="434">
        <v>13.46</v>
      </c>
      <c r="J37" s="435"/>
      <c r="K37" s="436"/>
      <c r="L37" s="437"/>
      <c r="M37" s="438">
        <v>1.0916993284133101</v>
      </c>
      <c r="N37" s="439">
        <v>17.879551620686701</v>
      </c>
      <c r="O37" s="12">
        <v>1.0916993284133101</v>
      </c>
      <c r="P37" s="440"/>
      <c r="Q37" s="441">
        <v>6.7316380144473698</v>
      </c>
      <c r="R37" s="441">
        <v>3.15488081621737</v>
      </c>
      <c r="S37" s="441">
        <v>4.7540631793924204</v>
      </c>
      <c r="T37" s="431">
        <v>3.4590874407889598</v>
      </c>
      <c r="U37" s="10">
        <v>0.87158036489495705</v>
      </c>
      <c r="V37" s="442"/>
    </row>
    <row r="38" spans="1:22" x14ac:dyDescent="0.25">
      <c r="A38" s="429">
        <v>4328</v>
      </c>
      <c r="B38" s="430" t="s">
        <v>32</v>
      </c>
      <c r="C38" s="430" t="s">
        <v>38</v>
      </c>
      <c r="D38" s="430">
        <v>14.1671985885</v>
      </c>
      <c r="E38" s="432" t="s">
        <v>314</v>
      </c>
      <c r="F38" s="419">
        <v>14.1671985885118</v>
      </c>
      <c r="G38" s="433"/>
      <c r="H38" s="419"/>
      <c r="I38" s="434"/>
      <c r="J38" s="435"/>
      <c r="K38" s="436"/>
      <c r="L38" s="437"/>
      <c r="M38" s="438"/>
      <c r="N38" s="439">
        <v>14.1671985885</v>
      </c>
      <c r="O38" s="12">
        <v>0</v>
      </c>
      <c r="P38" s="440"/>
      <c r="Q38" s="441">
        <v>4.284786214535</v>
      </c>
      <c r="R38" s="441">
        <v>0</v>
      </c>
      <c r="S38" s="441">
        <v>0</v>
      </c>
      <c r="T38" s="431">
        <v>6.7918683688606798</v>
      </c>
      <c r="U38" s="10">
        <v>3.0905441055310701</v>
      </c>
      <c r="V38" s="442"/>
    </row>
    <row r="39" spans="1:22" x14ac:dyDescent="0.25">
      <c r="A39" s="429">
        <v>4338</v>
      </c>
      <c r="B39" s="430" t="s">
        <v>32</v>
      </c>
      <c r="C39" s="430" t="s">
        <v>41</v>
      </c>
      <c r="D39" s="430">
        <v>28.262089403099999</v>
      </c>
      <c r="E39" s="432" t="s">
        <v>223</v>
      </c>
      <c r="F39" s="419">
        <v>28.2620894030809</v>
      </c>
      <c r="G39" s="433"/>
      <c r="H39" s="419"/>
      <c r="I39" s="434">
        <v>17.329999999999998</v>
      </c>
      <c r="J39" s="435"/>
      <c r="K39" s="436"/>
      <c r="L39" s="437"/>
      <c r="M39" s="438"/>
      <c r="N39" s="439">
        <v>28.262089403099999</v>
      </c>
      <c r="O39" s="12">
        <v>0</v>
      </c>
      <c r="P39" s="440"/>
      <c r="Q39" s="441">
        <v>0</v>
      </c>
      <c r="R39" s="441">
        <v>0</v>
      </c>
      <c r="S39" s="441">
        <v>0</v>
      </c>
      <c r="T39" s="431">
        <v>20.000156297983199</v>
      </c>
      <c r="U39" s="10">
        <v>8.2619330800443702</v>
      </c>
      <c r="V39" s="442"/>
    </row>
    <row r="40" spans="1:22" x14ac:dyDescent="0.25">
      <c r="A40" s="451" t="s">
        <v>52</v>
      </c>
      <c r="B40" s="449" t="s">
        <v>32</v>
      </c>
      <c r="C40" s="449"/>
      <c r="D40" s="449">
        <f>SUM(D37:D39)</f>
        <v>61.400538940699995</v>
      </c>
      <c r="E40" s="449"/>
      <c r="F40" s="449">
        <f t="shared" ref="F40:U40" si="1">SUM(F37:F39)</f>
        <v>60.241043254676796</v>
      </c>
      <c r="G40" s="449"/>
      <c r="H40" s="449">
        <f t="shared" si="1"/>
        <v>17.811755263084098</v>
      </c>
      <c r="I40" s="449">
        <f t="shared" si="1"/>
        <v>30.79</v>
      </c>
      <c r="J40" s="449">
        <f t="shared" si="1"/>
        <v>0</v>
      </c>
      <c r="K40" s="449"/>
      <c r="L40" s="449">
        <f t="shared" si="1"/>
        <v>0</v>
      </c>
      <c r="M40" s="449">
        <f t="shared" si="1"/>
        <v>1.0916993284133101</v>
      </c>
      <c r="N40" s="449">
        <f t="shared" si="1"/>
        <v>60.308839612286697</v>
      </c>
      <c r="O40" s="449">
        <f t="shared" si="1"/>
        <v>1.0916993284133101</v>
      </c>
      <c r="P40" s="449">
        <f t="shared" si="1"/>
        <v>0</v>
      </c>
      <c r="Q40" s="449">
        <f t="shared" si="1"/>
        <v>11.01642422898237</v>
      </c>
      <c r="R40" s="449">
        <f t="shared" si="1"/>
        <v>3.15488081621737</v>
      </c>
      <c r="S40" s="449">
        <f t="shared" si="1"/>
        <v>4.7540631793924204</v>
      </c>
      <c r="T40" s="449">
        <f t="shared" si="1"/>
        <v>30.251112107632839</v>
      </c>
      <c r="U40" s="449">
        <f t="shared" si="1"/>
        <v>12.224057550470398</v>
      </c>
      <c r="V40" s="442"/>
    </row>
    <row r="41" spans="1:22" x14ac:dyDescent="0.25">
      <c r="A41" s="444"/>
      <c r="B41" s="10"/>
      <c r="C41" s="10"/>
      <c r="D41" s="10"/>
      <c r="E41" s="445"/>
      <c r="F41" s="10"/>
      <c r="G41" s="446"/>
      <c r="H41" s="10"/>
      <c r="I41" s="10"/>
      <c r="J41" s="10"/>
      <c r="K41" s="10"/>
      <c r="L41" s="447"/>
      <c r="M41" s="10"/>
      <c r="N41" s="445"/>
      <c r="O41" s="10"/>
      <c r="P41" s="10"/>
      <c r="Q41" s="10"/>
      <c r="R41" s="10"/>
      <c r="S41" s="10"/>
      <c r="T41" s="448"/>
      <c r="U41" s="10"/>
      <c r="V41" s="442"/>
    </row>
    <row r="42" spans="1:22" x14ac:dyDescent="0.25">
      <c r="A42" s="444"/>
      <c r="B42" s="10"/>
      <c r="C42" s="10"/>
      <c r="D42" s="10"/>
      <c r="E42" s="445"/>
      <c r="F42" s="10"/>
      <c r="G42" s="446"/>
      <c r="H42" s="10"/>
      <c r="I42" s="10"/>
      <c r="J42" s="10"/>
      <c r="K42" s="10"/>
      <c r="L42" s="447"/>
      <c r="M42" s="10"/>
      <c r="N42" s="445"/>
      <c r="O42" s="10"/>
      <c r="P42" s="10"/>
      <c r="Q42" s="10"/>
      <c r="R42" s="10"/>
      <c r="S42" s="10"/>
      <c r="T42" s="448"/>
      <c r="U42" s="10"/>
      <c r="V42" s="442"/>
    </row>
    <row r="43" spans="1:22" x14ac:dyDescent="0.25">
      <c r="A43" s="429">
        <v>3650</v>
      </c>
      <c r="B43" s="430" t="s">
        <v>406</v>
      </c>
      <c r="C43" s="430" t="s">
        <v>33</v>
      </c>
      <c r="D43" s="430">
        <v>15.6195763407</v>
      </c>
      <c r="E43" s="432" t="s">
        <v>322</v>
      </c>
      <c r="F43" s="419">
        <v>5.1458316076690596E-4</v>
      </c>
      <c r="G43" s="433" t="s">
        <v>322</v>
      </c>
      <c r="H43" s="419">
        <v>5.1458316076690596E-4</v>
      </c>
      <c r="I43" s="434">
        <v>4.8</v>
      </c>
      <c r="J43" s="435"/>
      <c r="K43" s="436"/>
      <c r="L43" s="437"/>
      <c r="M43" s="438"/>
      <c r="N43" s="439">
        <v>15.6195763407</v>
      </c>
      <c r="O43" s="12">
        <v>0</v>
      </c>
      <c r="P43" s="440"/>
      <c r="Q43" s="441">
        <v>0</v>
      </c>
      <c r="R43" s="441">
        <v>0</v>
      </c>
      <c r="S43" s="441">
        <v>0</v>
      </c>
      <c r="T43" s="431">
        <v>0</v>
      </c>
      <c r="U43" s="10">
        <v>9.7444840746887191</v>
      </c>
      <c r="V43" s="442"/>
    </row>
    <row r="44" spans="1:22" x14ac:dyDescent="0.25">
      <c r="A44" s="429">
        <v>3759</v>
      </c>
      <c r="B44" s="430" t="s">
        <v>406</v>
      </c>
      <c r="C44" s="430" t="s">
        <v>38</v>
      </c>
      <c r="D44" s="430">
        <v>19.506639981100001</v>
      </c>
      <c r="E44" s="432"/>
      <c r="F44" s="419"/>
      <c r="G44" s="433"/>
      <c r="H44" s="419"/>
      <c r="I44" s="434"/>
      <c r="J44" s="435"/>
      <c r="K44" s="436" t="s">
        <v>36</v>
      </c>
      <c r="L44" s="437">
        <v>39928.1200447499</v>
      </c>
      <c r="M44" s="438"/>
      <c r="N44" s="439">
        <v>3.5701219758266202E-11</v>
      </c>
      <c r="O44" s="12">
        <v>19.5066399810643</v>
      </c>
      <c r="P44" s="440">
        <v>1.3563949868089</v>
      </c>
      <c r="Q44" s="441">
        <v>0</v>
      </c>
      <c r="R44" s="441">
        <v>0</v>
      </c>
      <c r="S44" s="441">
        <v>0</v>
      </c>
      <c r="T44" s="431">
        <v>0</v>
      </c>
      <c r="U44" s="10">
        <v>19.5066399810643</v>
      </c>
      <c r="V44" s="442"/>
    </row>
    <row r="45" spans="1:22" x14ac:dyDescent="0.25">
      <c r="A45" s="429">
        <v>3760</v>
      </c>
      <c r="B45" s="430" t="s">
        <v>406</v>
      </c>
      <c r="C45" s="430" t="s">
        <v>38</v>
      </c>
      <c r="D45" s="430">
        <v>28.6485427149</v>
      </c>
      <c r="E45" s="432" t="s">
        <v>229</v>
      </c>
      <c r="F45" s="419">
        <v>28.6485427148634</v>
      </c>
      <c r="G45" s="433"/>
      <c r="H45" s="419"/>
      <c r="I45" s="434"/>
      <c r="J45" s="435"/>
      <c r="K45" s="436"/>
      <c r="L45" s="437"/>
      <c r="M45" s="438"/>
      <c r="N45" s="439">
        <v>28.356938776484601</v>
      </c>
      <c r="O45" s="12">
        <v>0.29160393841535998</v>
      </c>
      <c r="P45" s="440">
        <v>0.17403754258937201</v>
      </c>
      <c r="Q45" s="441">
        <v>0</v>
      </c>
      <c r="R45" s="441">
        <v>0</v>
      </c>
      <c r="S45" s="441">
        <v>0</v>
      </c>
      <c r="T45" s="431">
        <v>0</v>
      </c>
      <c r="U45" s="10">
        <v>28.6485427148634</v>
      </c>
      <c r="V45" s="442"/>
    </row>
    <row r="46" spans="1:22" x14ac:dyDescent="0.25">
      <c r="A46" s="429">
        <v>3761</v>
      </c>
      <c r="B46" s="430" t="s">
        <v>406</v>
      </c>
      <c r="C46" s="430" t="s">
        <v>38</v>
      </c>
      <c r="D46" s="430">
        <v>17.944509947299998</v>
      </c>
      <c r="E46" s="432" t="s">
        <v>229</v>
      </c>
      <c r="F46" s="419">
        <v>3.7379189723518298</v>
      </c>
      <c r="G46" s="433"/>
      <c r="H46" s="419"/>
      <c r="I46" s="434"/>
      <c r="J46" s="435"/>
      <c r="K46" s="436" t="s">
        <v>36</v>
      </c>
      <c r="L46" s="437">
        <v>39928.1200447499</v>
      </c>
      <c r="M46" s="438"/>
      <c r="N46" s="439">
        <v>3.7379189771030998</v>
      </c>
      <c r="O46" s="12">
        <v>14.206590970196901</v>
      </c>
      <c r="P46" s="440">
        <v>9.5628860330272207</v>
      </c>
      <c r="Q46" s="441">
        <v>0</v>
      </c>
      <c r="R46" s="441">
        <v>0</v>
      </c>
      <c r="S46" s="441">
        <v>0</v>
      </c>
      <c r="T46" s="431">
        <v>0</v>
      </c>
      <c r="U46" s="10">
        <v>17.944509947293501</v>
      </c>
      <c r="V46" s="442"/>
    </row>
    <row r="47" spans="1:22" x14ac:dyDescent="0.25">
      <c r="A47" s="429">
        <v>3769</v>
      </c>
      <c r="B47" s="430" t="s">
        <v>406</v>
      </c>
      <c r="C47" s="430" t="s">
        <v>41</v>
      </c>
      <c r="D47" s="430">
        <v>6.7054987159900001</v>
      </c>
      <c r="E47" s="432" t="s">
        <v>223</v>
      </c>
      <c r="F47" s="419">
        <v>6.7054987159888801</v>
      </c>
      <c r="G47" s="433"/>
      <c r="H47" s="419"/>
      <c r="I47" s="434">
        <v>1.85</v>
      </c>
      <c r="J47" s="435"/>
      <c r="K47" s="436"/>
      <c r="L47" s="437"/>
      <c r="M47" s="438"/>
      <c r="N47" s="439">
        <v>6.7054987159900001</v>
      </c>
      <c r="O47" s="12">
        <v>0</v>
      </c>
      <c r="P47" s="440"/>
      <c r="Q47" s="441">
        <v>0</v>
      </c>
      <c r="R47" s="441">
        <v>0</v>
      </c>
      <c r="S47" s="441">
        <v>0</v>
      </c>
      <c r="T47" s="431">
        <v>0</v>
      </c>
      <c r="U47" s="10">
        <v>6.7054987159888801</v>
      </c>
      <c r="V47" s="442"/>
    </row>
    <row r="48" spans="1:22" x14ac:dyDescent="0.25">
      <c r="A48" s="429">
        <v>3777</v>
      </c>
      <c r="B48" s="430" t="s">
        <v>406</v>
      </c>
      <c r="C48" s="430" t="s">
        <v>41</v>
      </c>
      <c r="D48" s="430">
        <v>1.4846636283600001</v>
      </c>
      <c r="E48" s="432" t="s">
        <v>227</v>
      </c>
      <c r="F48" s="419">
        <v>1.4846636283646699</v>
      </c>
      <c r="G48" s="433"/>
      <c r="H48" s="419"/>
      <c r="I48" s="434">
        <v>0.52</v>
      </c>
      <c r="J48" s="435"/>
      <c r="K48" s="436"/>
      <c r="L48" s="437"/>
      <c r="M48" s="438"/>
      <c r="N48" s="439">
        <v>1.4846636283600001</v>
      </c>
      <c r="O48" s="12">
        <v>0</v>
      </c>
      <c r="P48" s="440"/>
      <c r="Q48" s="441">
        <v>0</v>
      </c>
      <c r="R48" s="441">
        <v>0</v>
      </c>
      <c r="S48" s="441">
        <v>0</v>
      </c>
      <c r="T48" s="431">
        <v>0</v>
      </c>
      <c r="U48" s="10">
        <v>1.4846636283646699</v>
      </c>
      <c r="V48" s="442"/>
    </row>
    <row r="49" spans="1:22" x14ac:dyDescent="0.25">
      <c r="A49" s="429">
        <v>3788</v>
      </c>
      <c r="B49" s="430" t="s">
        <v>406</v>
      </c>
      <c r="C49" s="430" t="s">
        <v>41</v>
      </c>
      <c r="D49" s="430">
        <v>14.3604244114</v>
      </c>
      <c r="E49" s="432"/>
      <c r="F49" s="419"/>
      <c r="G49" s="433"/>
      <c r="H49" s="419"/>
      <c r="I49" s="434"/>
      <c r="J49" s="435"/>
      <c r="K49" s="436" t="s">
        <v>36</v>
      </c>
      <c r="L49" s="437">
        <v>39928.1200447499</v>
      </c>
      <c r="M49" s="438"/>
      <c r="N49" s="439">
        <v>-4.01989552756277E-11</v>
      </c>
      <c r="O49" s="12">
        <v>14.360424411440199</v>
      </c>
      <c r="P49" s="440">
        <v>6.8005992432710798</v>
      </c>
      <c r="Q49" s="441">
        <v>0</v>
      </c>
      <c r="R49" s="441">
        <v>0</v>
      </c>
      <c r="S49" s="441">
        <v>0</v>
      </c>
      <c r="T49" s="431">
        <v>0</v>
      </c>
      <c r="U49" s="10">
        <v>14.360424411440199</v>
      </c>
      <c r="V49" s="442"/>
    </row>
    <row r="50" spans="1:22" x14ac:dyDescent="0.25">
      <c r="A50" s="429">
        <v>3797</v>
      </c>
      <c r="B50" s="430" t="s">
        <v>406</v>
      </c>
      <c r="C50" s="430" t="s">
        <v>41</v>
      </c>
      <c r="D50" s="430">
        <v>37.104522169399999</v>
      </c>
      <c r="E50" s="432" t="s">
        <v>223</v>
      </c>
      <c r="F50" s="419">
        <v>37.1045221693768</v>
      </c>
      <c r="G50" s="433"/>
      <c r="H50" s="419"/>
      <c r="I50" s="434">
        <v>2.33</v>
      </c>
      <c r="J50" s="435"/>
      <c r="K50" s="436"/>
      <c r="L50" s="437"/>
      <c r="M50" s="438"/>
      <c r="N50" s="439">
        <v>37.104522169399999</v>
      </c>
      <c r="O50" s="12">
        <v>0</v>
      </c>
      <c r="P50" s="440"/>
      <c r="Q50" s="441">
        <v>0</v>
      </c>
      <c r="R50" s="441">
        <v>0</v>
      </c>
      <c r="S50" s="441">
        <v>0</v>
      </c>
      <c r="T50" s="431">
        <v>0</v>
      </c>
      <c r="U50" s="10">
        <v>37.1045221693768</v>
      </c>
      <c r="V50" s="442"/>
    </row>
    <row r="51" spans="1:22" x14ac:dyDescent="0.25">
      <c r="A51" s="429">
        <v>3798</v>
      </c>
      <c r="B51" s="430" t="s">
        <v>406</v>
      </c>
      <c r="C51" s="430" t="s">
        <v>41</v>
      </c>
      <c r="D51" s="430">
        <v>53.437926318199999</v>
      </c>
      <c r="E51" s="432" t="s">
        <v>223</v>
      </c>
      <c r="F51" s="419">
        <v>45.658376899228799</v>
      </c>
      <c r="G51" s="433"/>
      <c r="H51" s="419"/>
      <c r="I51" s="434">
        <v>5.36</v>
      </c>
      <c r="J51" s="435"/>
      <c r="K51" s="436" t="s">
        <v>36</v>
      </c>
      <c r="L51" s="437">
        <v>39928.1200447499</v>
      </c>
      <c r="M51" s="438"/>
      <c r="N51" s="439">
        <v>43.180573756713898</v>
      </c>
      <c r="O51" s="12">
        <v>10.257352561486099</v>
      </c>
      <c r="P51" s="440">
        <v>1.32906664737262</v>
      </c>
      <c r="Q51" s="441">
        <v>0</v>
      </c>
      <c r="R51" s="441">
        <v>0</v>
      </c>
      <c r="S51" s="441">
        <v>0</v>
      </c>
      <c r="T51" s="431">
        <v>0</v>
      </c>
      <c r="U51" s="10">
        <v>53.4379263182025</v>
      </c>
      <c r="V51" s="442"/>
    </row>
    <row r="52" spans="1:22" x14ac:dyDescent="0.25">
      <c r="A52" s="429">
        <v>3799</v>
      </c>
      <c r="B52" s="430" t="s">
        <v>406</v>
      </c>
      <c r="C52" s="430" t="s">
        <v>41</v>
      </c>
      <c r="D52" s="430">
        <v>69.737609022000001</v>
      </c>
      <c r="E52" s="432" t="s">
        <v>223</v>
      </c>
      <c r="F52" s="419">
        <v>69.737609021993805</v>
      </c>
      <c r="G52" s="433"/>
      <c r="H52" s="419"/>
      <c r="I52" s="434"/>
      <c r="J52" s="435"/>
      <c r="K52" s="436"/>
      <c r="L52" s="437"/>
      <c r="M52" s="438"/>
      <c r="N52" s="439">
        <v>69.737609022000001</v>
      </c>
      <c r="O52" s="12">
        <v>0</v>
      </c>
      <c r="P52" s="440">
        <v>17.382190459701601</v>
      </c>
      <c r="Q52" s="441">
        <v>0</v>
      </c>
      <c r="R52" s="441">
        <v>0</v>
      </c>
      <c r="S52" s="441">
        <v>0</v>
      </c>
      <c r="T52" s="431">
        <v>0</v>
      </c>
      <c r="U52" s="10">
        <v>69.737609021993805</v>
      </c>
      <c r="V52" s="442"/>
    </row>
    <row r="53" spans="1:22" x14ac:dyDescent="0.25">
      <c r="A53" s="429">
        <v>3803</v>
      </c>
      <c r="B53" s="430" t="s">
        <v>406</v>
      </c>
      <c r="C53" s="430" t="s">
        <v>41</v>
      </c>
      <c r="D53" s="430">
        <v>41.607343806700001</v>
      </c>
      <c r="E53" s="432" t="s">
        <v>223</v>
      </c>
      <c r="F53" s="419">
        <v>25.663379591392701</v>
      </c>
      <c r="G53" s="433" t="s">
        <v>223</v>
      </c>
      <c r="H53" s="419">
        <v>25.663379591392701</v>
      </c>
      <c r="I53" s="434"/>
      <c r="J53" s="435"/>
      <c r="K53" s="436" t="s">
        <v>36</v>
      </c>
      <c r="L53" s="437">
        <v>39928.1200447499</v>
      </c>
      <c r="M53" s="438"/>
      <c r="N53" s="439">
        <v>5.3972497912156996</v>
      </c>
      <c r="O53" s="12">
        <v>36.210094015484302</v>
      </c>
      <c r="P53" s="440"/>
      <c r="Q53" s="441">
        <v>0</v>
      </c>
      <c r="R53" s="441">
        <v>0</v>
      </c>
      <c r="S53" s="441">
        <v>0</v>
      </c>
      <c r="T53" s="431">
        <v>0</v>
      </c>
      <c r="U53" s="10">
        <v>41.204877517145498</v>
      </c>
      <c r="V53" s="442"/>
    </row>
    <row r="54" spans="1:22" x14ac:dyDescent="0.25">
      <c r="A54" s="429">
        <v>3805</v>
      </c>
      <c r="B54" s="430" t="s">
        <v>406</v>
      </c>
      <c r="C54" s="430" t="s">
        <v>41</v>
      </c>
      <c r="D54" s="430">
        <v>12.5848938233</v>
      </c>
      <c r="E54" s="432"/>
      <c r="F54" s="419"/>
      <c r="G54" s="433"/>
      <c r="H54" s="419"/>
      <c r="I54" s="434"/>
      <c r="J54" s="435"/>
      <c r="K54" s="436" t="s">
        <v>36</v>
      </c>
      <c r="L54" s="437">
        <v>39928.1200447499</v>
      </c>
      <c r="M54" s="438"/>
      <c r="N54" s="439">
        <v>4.77005102084149E-11</v>
      </c>
      <c r="O54" s="12">
        <v>12.584893823252299</v>
      </c>
      <c r="P54" s="440">
        <v>5.8000888523904397</v>
      </c>
      <c r="Q54" s="441">
        <v>0</v>
      </c>
      <c r="R54" s="441">
        <v>0</v>
      </c>
      <c r="S54" s="441">
        <v>0</v>
      </c>
      <c r="T54" s="431">
        <v>0</v>
      </c>
      <c r="U54" s="10">
        <v>12.584893823252299</v>
      </c>
      <c r="V54" s="442"/>
    </row>
    <row r="55" spans="1:22" x14ac:dyDescent="0.25">
      <c r="A55" s="451" t="s">
        <v>52</v>
      </c>
      <c r="B55" s="449" t="s">
        <v>406</v>
      </c>
      <c r="C55" s="449"/>
      <c r="D55" s="449">
        <f>SUM(D43:D54)</f>
        <v>318.74215087934994</v>
      </c>
      <c r="E55" s="449"/>
      <c r="F55" s="449">
        <f t="shared" ref="F55:U55" si="2">SUM(F43:F54)</f>
        <v>218.74102629672166</v>
      </c>
      <c r="G55" s="449"/>
      <c r="H55" s="449">
        <f t="shared" si="2"/>
        <v>25.663894174553469</v>
      </c>
      <c r="I55" s="449">
        <f t="shared" si="2"/>
        <v>14.86</v>
      </c>
      <c r="J55" s="449">
        <f t="shared" si="2"/>
        <v>0</v>
      </c>
      <c r="K55" s="449"/>
      <c r="L55" s="449">
        <f t="shared" si="2"/>
        <v>239568.7202684994</v>
      </c>
      <c r="M55" s="449">
        <f t="shared" si="2"/>
        <v>0</v>
      </c>
      <c r="N55" s="449">
        <f t="shared" si="2"/>
        <v>211.32455117801049</v>
      </c>
      <c r="O55" s="449">
        <f t="shared" si="2"/>
        <v>107.41759970133946</v>
      </c>
      <c r="P55" s="449">
        <f t="shared" si="2"/>
        <v>42.40526376516123</v>
      </c>
      <c r="Q55" s="449">
        <f t="shared" si="2"/>
        <v>0</v>
      </c>
      <c r="R55" s="449">
        <f t="shared" si="2"/>
        <v>0</v>
      </c>
      <c r="S55" s="449">
        <f t="shared" si="2"/>
        <v>0</v>
      </c>
      <c r="T55" s="449">
        <f t="shared" si="2"/>
        <v>0</v>
      </c>
      <c r="U55" s="449">
        <f t="shared" si="2"/>
        <v>312.46459232367459</v>
      </c>
      <c r="V55" s="442"/>
    </row>
    <row r="56" spans="1:22" x14ac:dyDescent="0.25">
      <c r="A56" s="324"/>
      <c r="B56" s="96"/>
      <c r="C56" s="346"/>
      <c r="D56" s="346"/>
      <c r="E56" s="15"/>
      <c r="F56" s="452"/>
      <c r="G56" s="453"/>
      <c r="H56" s="452"/>
      <c r="I56" s="96"/>
      <c r="J56" s="96"/>
      <c r="K56" s="96"/>
      <c r="L56" s="96"/>
      <c r="M56" s="96"/>
      <c r="N56" s="15"/>
      <c r="O56" s="96"/>
      <c r="P56" s="96"/>
      <c r="Q56" s="96"/>
      <c r="R56" s="96"/>
      <c r="S56" s="96"/>
      <c r="T56" s="454"/>
      <c r="U56" s="96"/>
      <c r="V56" s="15"/>
    </row>
    <row r="57" spans="1:22" x14ac:dyDescent="0.25">
      <c r="A57" s="455"/>
      <c r="B57" s="96"/>
      <c r="C57" s="346"/>
      <c r="D57" s="346"/>
      <c r="E57" s="15"/>
      <c r="F57" s="452"/>
      <c r="G57" s="453"/>
      <c r="H57" s="452"/>
      <c r="I57" s="96"/>
      <c r="J57" s="96"/>
      <c r="K57" s="96"/>
      <c r="L57" s="96"/>
      <c r="M57" s="96"/>
      <c r="N57" s="15"/>
      <c r="O57" s="96"/>
      <c r="P57" s="96"/>
      <c r="Q57" s="96"/>
      <c r="R57" s="96"/>
      <c r="S57" s="96"/>
      <c r="T57" s="454"/>
      <c r="U57" s="96"/>
    </row>
    <row r="58" spans="1:22" x14ac:dyDescent="0.25">
      <c r="A58" s="455"/>
      <c r="B58" s="96"/>
      <c r="C58" s="346"/>
      <c r="D58" s="346"/>
      <c r="E58" s="15"/>
      <c r="F58" s="456"/>
      <c r="G58" s="453"/>
      <c r="H58" s="456"/>
      <c r="I58" s="96"/>
      <c r="J58" s="96"/>
      <c r="K58" s="96"/>
      <c r="L58" s="132"/>
      <c r="M58" s="132"/>
      <c r="O58" s="132"/>
      <c r="P58" s="132"/>
      <c r="Q58" s="132"/>
      <c r="R58" s="132"/>
      <c r="S58" s="132"/>
      <c r="T58" s="454"/>
      <c r="U58" s="132"/>
    </row>
    <row r="59" spans="1:22" x14ac:dyDescent="0.25">
      <c r="A59" s="324"/>
      <c r="B59" s="19"/>
      <c r="C59" s="331"/>
      <c r="D59" s="346"/>
      <c r="F59" s="456"/>
      <c r="G59" s="457"/>
      <c r="H59" s="456"/>
      <c r="I59" s="96"/>
      <c r="J59" s="96"/>
      <c r="K59" s="19"/>
      <c r="L59" s="132"/>
      <c r="M59" s="132"/>
      <c r="O59" s="132"/>
      <c r="P59" s="132"/>
      <c r="Q59" s="132"/>
      <c r="R59" s="132"/>
      <c r="S59" s="132"/>
      <c r="T59" s="454"/>
      <c r="U59" s="132"/>
    </row>
    <row r="60" spans="1:22" x14ac:dyDescent="0.25">
      <c r="A60" s="324"/>
      <c r="B60" s="19"/>
      <c r="C60" s="331"/>
      <c r="D60" s="346"/>
      <c r="F60" s="456"/>
      <c r="G60" s="457"/>
      <c r="H60" s="456"/>
      <c r="I60" s="96"/>
      <c r="J60" s="96"/>
      <c r="K60" s="19"/>
      <c r="L60" s="132"/>
      <c r="M60" s="132"/>
      <c r="O60" s="132"/>
      <c r="P60" s="132"/>
      <c r="Q60" s="132"/>
      <c r="R60" s="132"/>
      <c r="S60" s="132"/>
      <c r="T60" s="454"/>
      <c r="U60" s="132"/>
    </row>
    <row r="61" spans="1:22" x14ac:dyDescent="0.25">
      <c r="A61" s="324"/>
      <c r="B61" s="19"/>
      <c r="C61" s="331"/>
      <c r="D61" s="346"/>
      <c r="F61" s="456"/>
      <c r="G61" s="457"/>
      <c r="H61" s="456"/>
      <c r="I61" s="96"/>
      <c r="J61" s="96"/>
      <c r="K61" s="19"/>
      <c r="L61" s="132"/>
      <c r="M61" s="132"/>
      <c r="O61" s="132"/>
      <c r="P61" s="132"/>
      <c r="Q61" s="132"/>
      <c r="R61" s="132"/>
      <c r="S61" s="132"/>
      <c r="T61" s="454"/>
      <c r="U61" s="132"/>
    </row>
    <row r="62" spans="1:22" x14ac:dyDescent="0.25">
      <c r="A62" s="324"/>
      <c r="B62" s="19"/>
      <c r="C62" s="331"/>
      <c r="D62" s="346"/>
      <c r="F62" s="456"/>
      <c r="G62" s="457"/>
      <c r="H62" s="456"/>
      <c r="I62" s="96"/>
      <c r="J62" s="96"/>
      <c r="K62" s="19"/>
      <c r="L62" s="132"/>
      <c r="M62" s="132"/>
      <c r="O62" s="132"/>
      <c r="P62" s="132"/>
      <c r="Q62" s="132"/>
      <c r="R62" s="132"/>
      <c r="S62" s="132"/>
      <c r="T62" s="454"/>
      <c r="U62" s="132"/>
    </row>
    <row r="63" spans="1:22" x14ac:dyDescent="0.25">
      <c r="A63" s="324"/>
      <c r="B63" s="19"/>
      <c r="C63" s="331"/>
      <c r="D63" s="346"/>
      <c r="F63" s="456"/>
      <c r="G63" s="457"/>
      <c r="H63" s="456"/>
      <c r="I63" s="96"/>
      <c r="J63" s="96"/>
      <c r="K63" s="19"/>
      <c r="L63" s="132"/>
      <c r="M63" s="132"/>
      <c r="O63" s="132"/>
      <c r="P63" s="132"/>
      <c r="Q63" s="132"/>
      <c r="R63" s="132"/>
      <c r="S63" s="132"/>
      <c r="T63" s="454"/>
      <c r="U63" s="132"/>
    </row>
    <row r="64" spans="1:22" x14ac:dyDescent="0.25">
      <c r="A64" s="324"/>
      <c r="B64" s="19"/>
      <c r="C64" s="331"/>
      <c r="D64" s="346"/>
      <c r="F64" s="456"/>
      <c r="G64" s="457"/>
      <c r="H64" s="456"/>
      <c r="I64" s="96"/>
      <c r="J64" s="96"/>
      <c r="K64" s="19"/>
      <c r="L64" s="132"/>
      <c r="M64" s="132"/>
      <c r="O64" s="132"/>
      <c r="P64" s="132"/>
      <c r="Q64" s="132"/>
      <c r="R64" s="132"/>
      <c r="S64" s="132"/>
      <c r="T64" s="454"/>
      <c r="U64" s="132"/>
    </row>
    <row r="65" spans="1:21" x14ac:dyDescent="0.25">
      <c r="A65" s="324"/>
      <c r="B65" s="19"/>
      <c r="C65" s="331"/>
      <c r="D65" s="346"/>
      <c r="F65" s="456"/>
      <c r="G65" s="457"/>
      <c r="H65" s="456"/>
      <c r="I65" s="96"/>
      <c r="J65" s="96"/>
      <c r="K65" s="19"/>
      <c r="L65" s="132"/>
      <c r="M65" s="132"/>
      <c r="O65" s="132"/>
      <c r="P65" s="132"/>
      <c r="Q65" s="132"/>
      <c r="R65" s="132"/>
      <c r="S65" s="132"/>
      <c r="T65" s="454"/>
      <c r="U65" s="132"/>
    </row>
    <row r="66" spans="1:21" x14ac:dyDescent="0.25">
      <c r="A66" s="324"/>
      <c r="B66" s="19"/>
      <c r="C66" s="331"/>
      <c r="D66" s="346"/>
      <c r="F66" s="456"/>
      <c r="G66" s="457"/>
      <c r="H66" s="456"/>
      <c r="I66" s="96"/>
      <c r="J66" s="96"/>
      <c r="K66" s="19"/>
      <c r="L66" s="132"/>
      <c r="M66" s="132"/>
      <c r="O66" s="132"/>
      <c r="P66" s="132"/>
      <c r="Q66" s="132"/>
      <c r="R66" s="132"/>
      <c r="S66" s="132"/>
      <c r="T66" s="454"/>
      <c r="U66" s="132"/>
    </row>
    <row r="67" spans="1:21" x14ac:dyDescent="0.25">
      <c r="A67" s="324"/>
      <c r="B67" s="19"/>
      <c r="C67" s="331"/>
      <c r="D67" s="346"/>
      <c r="F67" s="456"/>
      <c r="G67" s="457"/>
      <c r="H67" s="456"/>
      <c r="I67" s="96"/>
      <c r="J67" s="96"/>
      <c r="K67" s="19"/>
      <c r="L67" s="132"/>
      <c r="M67" s="132"/>
      <c r="O67" s="132"/>
      <c r="P67" s="132"/>
      <c r="Q67" s="132"/>
      <c r="R67" s="132"/>
      <c r="S67" s="132"/>
      <c r="T67" s="454"/>
      <c r="U67" s="132"/>
    </row>
    <row r="68" spans="1:21" x14ac:dyDescent="0.25">
      <c r="A68" s="324"/>
      <c r="B68" s="19"/>
      <c r="C68" s="331"/>
      <c r="D68" s="346"/>
      <c r="F68" s="456"/>
      <c r="G68" s="457"/>
      <c r="H68" s="456"/>
      <c r="I68" s="96"/>
      <c r="J68" s="96"/>
      <c r="K68" s="19"/>
      <c r="L68" s="132"/>
      <c r="M68" s="132"/>
      <c r="O68" s="132"/>
      <c r="P68" s="132"/>
      <c r="Q68" s="132"/>
      <c r="R68" s="132"/>
      <c r="S68" s="132"/>
      <c r="T68" s="454"/>
      <c r="U68" s="132"/>
    </row>
    <row r="69" spans="1:21" x14ac:dyDescent="0.25">
      <c r="A69" s="324"/>
      <c r="B69" s="19"/>
      <c r="C69" s="331"/>
      <c r="D69" s="346"/>
      <c r="F69" s="456"/>
      <c r="G69" s="457"/>
      <c r="H69" s="456"/>
      <c r="I69" s="96"/>
      <c r="J69" s="96"/>
      <c r="K69" s="19"/>
      <c r="L69" s="132"/>
      <c r="M69" s="132"/>
      <c r="O69" s="132"/>
      <c r="P69" s="132"/>
      <c r="Q69" s="132"/>
      <c r="R69" s="132"/>
      <c r="S69" s="132"/>
      <c r="T69" s="454"/>
      <c r="U69" s="132"/>
    </row>
    <row r="70" spans="1:21" x14ac:dyDescent="0.25">
      <c r="A70" s="324"/>
      <c r="B70" s="19"/>
      <c r="C70" s="331"/>
      <c r="D70" s="346"/>
      <c r="F70" s="456"/>
      <c r="H70" s="456"/>
      <c r="I70" s="96"/>
      <c r="J70" s="96"/>
      <c r="K70" s="19"/>
      <c r="L70" s="132"/>
      <c r="M70" s="132"/>
      <c r="O70" s="132"/>
      <c r="P70" s="132"/>
      <c r="Q70" s="132"/>
      <c r="R70" s="132"/>
      <c r="S70" s="132"/>
      <c r="T70" s="454"/>
      <c r="U70" s="132"/>
    </row>
    <row r="71" spans="1:21" x14ac:dyDescent="0.25">
      <c r="A71" s="324"/>
      <c r="B71" s="19"/>
      <c r="C71" s="331"/>
      <c r="D71" s="346"/>
      <c r="F71" s="456"/>
      <c r="G71" s="457"/>
      <c r="H71" s="456"/>
      <c r="I71" s="96"/>
      <c r="J71" s="96"/>
      <c r="K71" s="19"/>
      <c r="L71" s="132"/>
      <c r="M71" s="132"/>
      <c r="O71" s="132"/>
      <c r="P71" s="132"/>
      <c r="Q71" s="132"/>
      <c r="R71" s="132"/>
      <c r="S71" s="132"/>
      <c r="T71" s="454"/>
      <c r="U71" s="132"/>
    </row>
    <row r="72" spans="1:21" x14ac:dyDescent="0.25">
      <c r="A72" s="324"/>
      <c r="B72" s="19"/>
      <c r="C72" s="331"/>
      <c r="D72" s="346"/>
      <c r="F72" s="456"/>
      <c r="G72" s="457"/>
      <c r="H72" s="456"/>
      <c r="I72" s="96"/>
      <c r="J72" s="96"/>
      <c r="K72" s="19"/>
      <c r="L72" s="132"/>
      <c r="M72" s="132"/>
      <c r="O72" s="132"/>
      <c r="P72" s="132"/>
      <c r="Q72" s="132"/>
      <c r="R72" s="132"/>
      <c r="S72" s="132"/>
      <c r="T72" s="454"/>
      <c r="U72" s="132"/>
    </row>
    <row r="73" spans="1:21" x14ac:dyDescent="0.25">
      <c r="A73" s="324"/>
      <c r="B73" s="19"/>
      <c r="C73" s="331"/>
      <c r="D73" s="346"/>
      <c r="F73" s="456"/>
      <c r="G73" s="457"/>
      <c r="H73" s="456"/>
      <c r="I73" s="96"/>
      <c r="J73" s="96"/>
      <c r="K73" s="19"/>
      <c r="L73" s="132"/>
      <c r="M73" s="132"/>
      <c r="O73" s="132"/>
      <c r="P73" s="132"/>
      <c r="Q73" s="132"/>
      <c r="R73" s="132"/>
      <c r="S73" s="132"/>
      <c r="T73" s="454"/>
      <c r="U73" s="132"/>
    </row>
    <row r="74" spans="1:21" x14ac:dyDescent="0.25">
      <c r="A74" s="324"/>
      <c r="B74" s="19"/>
      <c r="C74" s="331"/>
      <c r="D74" s="346"/>
      <c r="F74" s="456"/>
      <c r="G74" s="457"/>
      <c r="H74" s="456"/>
      <c r="I74" s="96"/>
      <c r="J74" s="96"/>
      <c r="K74" s="19"/>
      <c r="L74" s="132"/>
      <c r="M74" s="132"/>
      <c r="O74" s="132"/>
      <c r="P74" s="132"/>
      <c r="Q74" s="132"/>
      <c r="R74" s="132"/>
      <c r="S74" s="132"/>
      <c r="T74" s="454"/>
      <c r="U74" s="132"/>
    </row>
    <row r="75" spans="1:21" x14ac:dyDescent="0.25">
      <c r="A75" s="324"/>
      <c r="B75" s="19"/>
      <c r="C75" s="331"/>
      <c r="D75" s="346"/>
      <c r="F75" s="456"/>
      <c r="G75" s="457"/>
      <c r="H75" s="456"/>
      <c r="I75" s="96"/>
      <c r="J75" s="96"/>
      <c r="K75" s="19"/>
      <c r="L75" s="132"/>
      <c r="M75" s="132"/>
      <c r="O75" s="132"/>
      <c r="P75" s="132"/>
      <c r="Q75" s="132"/>
      <c r="R75" s="132"/>
      <c r="S75" s="132"/>
      <c r="T75" s="454"/>
      <c r="U75" s="132"/>
    </row>
    <row r="76" spans="1:21" x14ac:dyDescent="0.25">
      <c r="A76" s="324"/>
      <c r="B76" s="19"/>
      <c r="C76" s="331"/>
      <c r="D76" s="346"/>
      <c r="F76" s="456"/>
      <c r="G76" s="457"/>
      <c r="H76" s="456"/>
      <c r="I76" s="96"/>
      <c r="J76" s="96"/>
      <c r="K76" s="19"/>
      <c r="L76" s="132"/>
      <c r="M76" s="132"/>
      <c r="O76" s="132"/>
      <c r="P76" s="132"/>
      <c r="Q76" s="132"/>
      <c r="R76" s="132"/>
      <c r="S76" s="132"/>
      <c r="T76" s="454"/>
      <c r="U76" s="132"/>
    </row>
    <row r="77" spans="1:21" x14ac:dyDescent="0.25">
      <c r="A77" s="324"/>
      <c r="B77" s="19"/>
      <c r="C77" s="331"/>
      <c r="D77" s="346"/>
      <c r="F77" s="456"/>
      <c r="G77" s="457"/>
      <c r="H77" s="456"/>
      <c r="I77" s="96"/>
      <c r="J77" s="96"/>
      <c r="K77" s="19"/>
      <c r="L77" s="132"/>
      <c r="M77" s="132"/>
      <c r="O77" s="132"/>
      <c r="P77" s="132"/>
      <c r="Q77" s="132"/>
      <c r="R77" s="132"/>
      <c r="S77" s="132"/>
      <c r="T77" s="454"/>
      <c r="U77" s="132"/>
    </row>
    <row r="78" spans="1:21" x14ac:dyDescent="0.25">
      <c r="A78" s="324"/>
      <c r="B78" s="19"/>
      <c r="C78" s="331"/>
      <c r="D78" s="346"/>
      <c r="F78" s="456"/>
      <c r="G78" s="457"/>
      <c r="H78" s="456"/>
      <c r="I78" s="96"/>
      <c r="J78" s="96"/>
      <c r="K78" s="19"/>
      <c r="L78" s="132"/>
      <c r="M78" s="132"/>
      <c r="O78" s="132"/>
      <c r="P78" s="132"/>
      <c r="Q78" s="132"/>
      <c r="R78" s="132"/>
      <c r="S78" s="132"/>
      <c r="T78" s="454"/>
      <c r="U78" s="132"/>
    </row>
    <row r="79" spans="1:21" x14ac:dyDescent="0.25">
      <c r="A79" s="324"/>
      <c r="B79" s="19"/>
      <c r="C79" s="331"/>
      <c r="D79" s="346"/>
      <c r="F79" s="456"/>
      <c r="G79" s="457"/>
      <c r="H79" s="456"/>
      <c r="I79" s="96"/>
      <c r="J79" s="96"/>
      <c r="K79" s="19"/>
      <c r="L79" s="132"/>
      <c r="M79" s="132"/>
      <c r="O79" s="132"/>
      <c r="P79" s="132"/>
      <c r="Q79" s="132"/>
      <c r="R79" s="132"/>
      <c r="S79" s="132"/>
      <c r="T79" s="454"/>
      <c r="U79" s="132"/>
    </row>
    <row r="80" spans="1:21" x14ac:dyDescent="0.25">
      <c r="A80" s="324"/>
      <c r="B80" s="19"/>
      <c r="C80" s="331"/>
      <c r="D80" s="346"/>
      <c r="F80" s="456"/>
      <c r="G80" s="457"/>
      <c r="H80" s="456"/>
      <c r="I80" s="96"/>
      <c r="J80" s="96"/>
      <c r="K80" s="19"/>
      <c r="L80" s="132"/>
      <c r="M80" s="132"/>
      <c r="O80" s="132"/>
      <c r="P80" s="132"/>
      <c r="Q80" s="132"/>
      <c r="R80" s="132"/>
      <c r="S80" s="132"/>
      <c r="T80" s="454"/>
      <c r="U80" s="132"/>
    </row>
    <row r="81" spans="1:21" x14ac:dyDescent="0.25">
      <c r="A81" s="324"/>
      <c r="B81" s="19"/>
      <c r="C81" s="331"/>
      <c r="D81" s="346"/>
      <c r="F81" s="456"/>
      <c r="G81" s="457"/>
      <c r="H81" s="456"/>
      <c r="I81" s="96"/>
      <c r="J81" s="96"/>
      <c r="K81" s="19"/>
      <c r="L81" s="132"/>
      <c r="M81" s="132"/>
      <c r="O81" s="132"/>
      <c r="P81" s="132"/>
      <c r="Q81" s="132"/>
      <c r="R81" s="132"/>
      <c r="S81" s="132"/>
      <c r="T81" s="454"/>
      <c r="U81" s="132"/>
    </row>
    <row r="82" spans="1:21" x14ac:dyDescent="0.25">
      <c r="A82" s="324"/>
      <c r="B82" s="19"/>
      <c r="C82" s="331"/>
      <c r="D82" s="346"/>
      <c r="F82" s="132"/>
      <c r="G82" s="457"/>
      <c r="H82" s="456"/>
      <c r="I82" s="96"/>
      <c r="J82" s="96"/>
      <c r="K82" s="19"/>
      <c r="L82" s="132"/>
      <c r="M82" s="132"/>
      <c r="O82" s="132"/>
      <c r="P82" s="132"/>
      <c r="Q82" s="132"/>
      <c r="R82" s="132"/>
      <c r="S82" s="132"/>
      <c r="T82" s="454"/>
      <c r="U82" s="132"/>
    </row>
    <row r="83" spans="1:21" x14ac:dyDescent="0.25">
      <c r="A83" s="324"/>
      <c r="B83" s="19"/>
      <c r="C83" s="331"/>
      <c r="D83" s="346"/>
      <c r="F83" s="132"/>
      <c r="G83" s="457"/>
      <c r="H83" s="456"/>
      <c r="I83" s="96"/>
      <c r="J83" s="96"/>
      <c r="K83" s="19"/>
      <c r="L83" s="132"/>
      <c r="M83" s="132"/>
      <c r="O83" s="132"/>
      <c r="P83" s="132"/>
      <c r="Q83" s="132"/>
      <c r="R83" s="132"/>
      <c r="S83" s="132"/>
      <c r="T83" s="454"/>
      <c r="U83" s="132"/>
    </row>
    <row r="84" spans="1:21" x14ac:dyDescent="0.25">
      <c r="A84" s="324"/>
      <c r="B84" s="19"/>
      <c r="C84" s="331"/>
      <c r="D84" s="346"/>
      <c r="F84" s="132"/>
      <c r="G84" s="457"/>
      <c r="H84" s="456"/>
      <c r="I84" s="96"/>
      <c r="J84" s="96"/>
      <c r="K84" s="19"/>
      <c r="L84" s="132"/>
      <c r="M84" s="132"/>
      <c r="O84" s="132"/>
      <c r="P84" s="132"/>
      <c r="Q84" s="132"/>
      <c r="R84" s="132"/>
      <c r="S84" s="132"/>
      <c r="T84" s="454"/>
      <c r="U84" s="132"/>
    </row>
    <row r="85" spans="1:21" x14ac:dyDescent="0.25">
      <c r="A85" s="324"/>
      <c r="B85" s="19"/>
      <c r="C85" s="331"/>
      <c r="D85" s="346"/>
      <c r="E85" s="457"/>
      <c r="F85" s="456"/>
      <c r="G85" s="457"/>
      <c r="H85" s="456"/>
      <c r="I85" s="96"/>
      <c r="J85" s="96"/>
      <c r="K85" s="19"/>
      <c r="L85" s="132"/>
      <c r="M85" s="132"/>
      <c r="O85" s="132"/>
      <c r="P85" s="132"/>
      <c r="Q85" s="132"/>
      <c r="R85" s="132"/>
      <c r="S85" s="132"/>
      <c r="T85" s="454"/>
      <c r="U85" s="132"/>
    </row>
    <row r="86" spans="1:21" x14ac:dyDescent="0.25">
      <c r="A86" s="324"/>
      <c r="B86" s="19"/>
      <c r="C86" s="331"/>
      <c r="D86" s="346"/>
      <c r="E86" s="457"/>
      <c r="F86" s="456"/>
      <c r="G86" s="457"/>
      <c r="H86" s="456"/>
      <c r="I86" s="96"/>
      <c r="J86" s="96"/>
      <c r="K86" s="19"/>
      <c r="L86" s="132"/>
      <c r="M86" s="132"/>
      <c r="O86" s="132"/>
      <c r="P86" s="132"/>
      <c r="Q86" s="132"/>
      <c r="R86" s="132"/>
      <c r="S86" s="132"/>
      <c r="T86" s="454"/>
      <c r="U86" s="132"/>
    </row>
    <row r="87" spans="1:21" x14ac:dyDescent="0.25">
      <c r="A87" s="324"/>
      <c r="B87" s="19"/>
      <c r="C87" s="331"/>
      <c r="D87" s="346"/>
      <c r="F87" s="456"/>
      <c r="G87" s="457"/>
      <c r="H87" s="456"/>
      <c r="I87" s="96"/>
      <c r="J87" s="96"/>
      <c r="K87" s="19"/>
      <c r="L87" s="132"/>
      <c r="M87" s="132"/>
      <c r="O87" s="132"/>
      <c r="P87" s="132"/>
      <c r="Q87" s="132"/>
      <c r="R87" s="132"/>
      <c r="S87" s="132"/>
      <c r="T87" s="454"/>
      <c r="U87" s="132"/>
    </row>
    <row r="88" spans="1:21" x14ac:dyDescent="0.25">
      <c r="A88" s="324"/>
      <c r="B88" s="19"/>
      <c r="C88" s="331"/>
      <c r="D88" s="346"/>
      <c r="F88" s="456"/>
      <c r="H88" s="456"/>
      <c r="I88" s="96"/>
      <c r="J88" s="96"/>
      <c r="K88" s="19"/>
      <c r="L88" s="132"/>
      <c r="M88" s="132"/>
      <c r="O88" s="132"/>
      <c r="P88" s="132"/>
      <c r="Q88" s="132"/>
      <c r="R88" s="132"/>
      <c r="S88" s="132"/>
      <c r="T88" s="454"/>
      <c r="U88" s="132"/>
    </row>
    <row r="89" spans="1:21" x14ac:dyDescent="0.25">
      <c r="A89" s="324"/>
      <c r="B89" s="19"/>
      <c r="C89" s="331"/>
      <c r="D89" s="346"/>
      <c r="F89" s="132"/>
      <c r="G89" s="457"/>
      <c r="H89" s="456"/>
      <c r="I89" s="96"/>
      <c r="J89" s="96"/>
      <c r="K89" s="19"/>
      <c r="L89" s="132"/>
      <c r="M89" s="132"/>
      <c r="O89" s="132"/>
      <c r="P89" s="132"/>
      <c r="Q89" s="132"/>
      <c r="R89" s="132"/>
      <c r="S89" s="132"/>
      <c r="T89" s="454"/>
      <c r="U89" s="132"/>
    </row>
    <row r="90" spans="1:21" x14ac:dyDescent="0.25">
      <c r="A90" s="324"/>
      <c r="B90" s="19"/>
      <c r="C90" s="331"/>
      <c r="D90" s="346"/>
      <c r="F90" s="132"/>
      <c r="G90" s="457"/>
      <c r="H90" s="456"/>
      <c r="I90" s="96"/>
      <c r="J90" s="96"/>
      <c r="K90" s="19"/>
      <c r="L90" s="132"/>
      <c r="M90" s="132"/>
      <c r="O90" s="132"/>
      <c r="P90" s="132"/>
      <c r="Q90" s="132"/>
      <c r="R90" s="132"/>
      <c r="S90" s="132"/>
      <c r="T90" s="454"/>
      <c r="U90" s="132"/>
    </row>
    <row r="91" spans="1:21" x14ac:dyDescent="0.25">
      <c r="A91" s="324"/>
      <c r="B91" s="19"/>
      <c r="C91" s="331"/>
      <c r="D91" s="346"/>
      <c r="F91" s="132"/>
      <c r="G91" s="457"/>
      <c r="H91" s="456"/>
      <c r="I91" s="96"/>
      <c r="J91" s="96"/>
      <c r="K91" s="19"/>
      <c r="L91" s="132"/>
      <c r="M91" s="132"/>
      <c r="O91" s="132"/>
      <c r="P91" s="132"/>
      <c r="Q91" s="132"/>
      <c r="R91" s="132"/>
      <c r="S91" s="132"/>
      <c r="T91" s="454"/>
      <c r="U91" s="132"/>
    </row>
    <row r="92" spans="1:21" x14ac:dyDescent="0.25">
      <c r="A92" s="324"/>
      <c r="B92" s="19"/>
      <c r="C92" s="331"/>
      <c r="D92" s="346"/>
      <c r="E92" s="457"/>
      <c r="F92" s="456"/>
      <c r="G92" s="457"/>
      <c r="H92" s="456"/>
      <c r="I92" s="96"/>
      <c r="J92" s="96"/>
      <c r="K92" s="19"/>
      <c r="L92" s="132"/>
      <c r="M92" s="132"/>
      <c r="O92" s="132"/>
      <c r="P92" s="132"/>
      <c r="Q92" s="132"/>
      <c r="R92" s="132"/>
      <c r="S92" s="132"/>
      <c r="T92" s="454"/>
      <c r="U92" s="132"/>
    </row>
    <row r="93" spans="1:21" x14ac:dyDescent="0.25">
      <c r="A93" s="324"/>
      <c r="B93" s="19"/>
      <c r="C93" s="331"/>
      <c r="D93" s="346"/>
      <c r="F93" s="132"/>
      <c r="G93" s="457"/>
      <c r="H93" s="456"/>
      <c r="I93" s="96"/>
      <c r="J93" s="96"/>
      <c r="K93" s="19"/>
      <c r="L93" s="132"/>
      <c r="M93" s="132"/>
      <c r="O93" s="132"/>
      <c r="P93" s="132"/>
      <c r="Q93" s="132"/>
      <c r="R93" s="132"/>
      <c r="S93" s="132"/>
      <c r="T93" s="454"/>
      <c r="U93" s="132"/>
    </row>
    <row r="94" spans="1:21" x14ac:dyDescent="0.25">
      <c r="A94" s="324"/>
      <c r="B94" s="19"/>
      <c r="C94" s="331"/>
      <c r="D94" s="346"/>
      <c r="F94" s="132"/>
      <c r="G94" s="457"/>
      <c r="H94" s="456"/>
      <c r="I94" s="96"/>
      <c r="J94" s="96"/>
      <c r="K94" s="19"/>
      <c r="L94" s="132"/>
      <c r="M94" s="132"/>
      <c r="O94" s="132"/>
      <c r="P94" s="132"/>
      <c r="Q94" s="132"/>
      <c r="R94" s="132"/>
      <c r="S94" s="132"/>
      <c r="T94" s="454"/>
      <c r="U94" s="132"/>
    </row>
    <row r="95" spans="1:21" x14ac:dyDescent="0.25">
      <c r="A95" s="324"/>
      <c r="B95" s="19"/>
      <c r="C95" s="331"/>
      <c r="D95" s="346"/>
      <c r="F95" s="132"/>
      <c r="G95" s="457"/>
      <c r="H95" s="456"/>
      <c r="I95" s="96"/>
      <c r="J95" s="96"/>
      <c r="K95" s="19"/>
      <c r="L95" s="132"/>
      <c r="M95" s="132"/>
      <c r="O95" s="132"/>
      <c r="P95" s="132"/>
      <c r="Q95" s="132"/>
      <c r="R95" s="132"/>
      <c r="S95" s="132"/>
      <c r="T95" s="454"/>
      <c r="U95" s="132"/>
    </row>
    <row r="96" spans="1:21" x14ac:dyDescent="0.25">
      <c r="A96" s="324"/>
      <c r="B96" s="19"/>
      <c r="C96" s="331"/>
      <c r="D96" s="346"/>
      <c r="E96" s="457"/>
      <c r="F96" s="456"/>
      <c r="G96" s="457"/>
      <c r="H96" s="456"/>
      <c r="I96" s="96"/>
      <c r="J96" s="96"/>
      <c r="K96" s="19"/>
      <c r="L96" s="132"/>
      <c r="M96" s="132"/>
      <c r="O96" s="132"/>
      <c r="P96" s="132"/>
      <c r="Q96" s="132"/>
      <c r="R96" s="132"/>
      <c r="S96" s="132"/>
      <c r="T96" s="454"/>
      <c r="U96" s="132"/>
    </row>
    <row r="97" spans="1:21" x14ac:dyDescent="0.25">
      <c r="A97" s="324"/>
      <c r="B97" s="19"/>
      <c r="C97" s="331"/>
      <c r="D97" s="346"/>
      <c r="F97" s="132"/>
      <c r="G97" s="457"/>
      <c r="H97" s="456"/>
      <c r="I97" s="96"/>
      <c r="J97" s="96"/>
      <c r="K97" s="19"/>
      <c r="L97" s="132"/>
      <c r="M97" s="132"/>
      <c r="O97" s="132"/>
      <c r="P97" s="132"/>
      <c r="Q97" s="132"/>
      <c r="R97" s="132"/>
      <c r="S97" s="132"/>
      <c r="T97" s="454"/>
      <c r="U97" s="132"/>
    </row>
    <row r="98" spans="1:21" x14ac:dyDescent="0.25">
      <c r="A98" s="324"/>
      <c r="B98" s="19"/>
      <c r="C98" s="331"/>
      <c r="D98" s="346"/>
      <c r="F98" s="132"/>
      <c r="G98" s="457"/>
      <c r="H98" s="456"/>
      <c r="I98" s="96"/>
      <c r="J98" s="96"/>
      <c r="K98" s="19"/>
      <c r="L98" s="132"/>
      <c r="M98" s="132"/>
      <c r="O98" s="132"/>
      <c r="P98" s="132"/>
      <c r="Q98" s="132"/>
      <c r="R98" s="132"/>
      <c r="S98" s="132"/>
      <c r="T98" s="454"/>
      <c r="U98" s="132"/>
    </row>
    <row r="99" spans="1:21" x14ac:dyDescent="0.25">
      <c r="A99" s="324"/>
      <c r="B99" s="19"/>
      <c r="C99" s="331"/>
      <c r="D99" s="346"/>
      <c r="F99" s="132"/>
      <c r="G99" s="457"/>
      <c r="H99" s="456"/>
      <c r="I99" s="96"/>
      <c r="J99" s="96"/>
      <c r="K99" s="19"/>
      <c r="L99" s="132"/>
      <c r="M99" s="132"/>
      <c r="O99" s="132"/>
      <c r="P99" s="132"/>
      <c r="Q99" s="132"/>
      <c r="R99" s="132"/>
      <c r="S99" s="132"/>
      <c r="T99" s="454"/>
      <c r="U99" s="132"/>
    </row>
    <row r="100" spans="1:21" x14ac:dyDescent="0.25">
      <c r="A100" s="324"/>
      <c r="B100" s="19"/>
      <c r="C100" s="331"/>
      <c r="D100" s="346"/>
      <c r="F100" s="132"/>
      <c r="G100" s="457"/>
      <c r="H100" s="456"/>
      <c r="I100" s="96"/>
      <c r="J100" s="96"/>
      <c r="K100" s="19"/>
      <c r="L100" s="132"/>
      <c r="M100" s="132"/>
      <c r="O100" s="132"/>
      <c r="P100" s="132"/>
      <c r="Q100" s="132"/>
      <c r="R100" s="132"/>
      <c r="S100" s="132"/>
      <c r="T100" s="454"/>
      <c r="U100" s="132"/>
    </row>
    <row r="101" spans="1:21" x14ac:dyDescent="0.25">
      <c r="A101" s="324"/>
      <c r="B101" s="19"/>
      <c r="C101" s="331"/>
      <c r="D101" s="346"/>
      <c r="F101" s="132"/>
      <c r="G101" s="457"/>
      <c r="H101" s="456"/>
      <c r="I101" s="96"/>
      <c r="J101" s="96"/>
      <c r="K101" s="19"/>
      <c r="L101" s="132"/>
      <c r="M101" s="132"/>
      <c r="O101" s="132"/>
      <c r="P101" s="132"/>
      <c r="Q101" s="132"/>
      <c r="R101" s="132"/>
      <c r="S101" s="132"/>
      <c r="T101" s="454"/>
      <c r="U101" s="132"/>
    </row>
    <row r="102" spans="1:21" x14ac:dyDescent="0.25">
      <c r="A102" s="324"/>
      <c r="B102" s="19"/>
      <c r="C102" s="331"/>
      <c r="D102" s="346"/>
      <c r="F102" s="132"/>
      <c r="G102" s="457"/>
      <c r="H102" s="456"/>
      <c r="I102" s="96"/>
      <c r="J102" s="96"/>
      <c r="K102" s="19"/>
      <c r="L102" s="132"/>
      <c r="M102" s="132"/>
      <c r="O102" s="132"/>
      <c r="P102" s="132"/>
      <c r="Q102" s="132"/>
      <c r="R102" s="132"/>
      <c r="S102" s="132"/>
      <c r="T102" s="454"/>
      <c r="U102" s="132"/>
    </row>
    <row r="103" spans="1:21" x14ac:dyDescent="0.25">
      <c r="A103" s="324"/>
      <c r="B103" s="19"/>
      <c r="C103" s="331"/>
      <c r="D103" s="346"/>
      <c r="F103" s="132"/>
      <c r="G103" s="457"/>
      <c r="H103" s="456"/>
      <c r="I103" s="96"/>
      <c r="J103" s="96"/>
      <c r="K103" s="19"/>
      <c r="L103" s="132"/>
      <c r="M103" s="132"/>
      <c r="O103" s="132"/>
      <c r="P103" s="132"/>
      <c r="Q103" s="132"/>
      <c r="R103" s="132"/>
      <c r="S103" s="132"/>
      <c r="T103" s="454"/>
      <c r="U103" s="132"/>
    </row>
    <row r="104" spans="1:21" x14ac:dyDescent="0.25">
      <c r="A104" s="324"/>
      <c r="B104" s="19"/>
      <c r="C104" s="331"/>
      <c r="D104" s="346"/>
      <c r="F104" s="132"/>
      <c r="G104" s="457"/>
      <c r="H104" s="456"/>
      <c r="I104" s="96"/>
      <c r="J104" s="96"/>
      <c r="K104" s="19"/>
      <c r="L104" s="132"/>
      <c r="M104" s="132"/>
      <c r="O104" s="132"/>
      <c r="P104" s="132"/>
      <c r="Q104" s="132"/>
      <c r="R104" s="132"/>
      <c r="S104" s="132"/>
      <c r="T104" s="454"/>
      <c r="U104" s="132"/>
    </row>
    <row r="105" spans="1:21" x14ac:dyDescent="0.25">
      <c r="A105" s="324"/>
      <c r="B105" s="19"/>
      <c r="C105" s="331"/>
      <c r="D105" s="346"/>
      <c r="F105" s="132"/>
      <c r="G105" s="457"/>
      <c r="H105" s="456"/>
      <c r="I105" s="96"/>
      <c r="J105" s="96"/>
      <c r="K105" s="19"/>
      <c r="L105" s="132"/>
      <c r="M105" s="132"/>
      <c r="O105" s="132"/>
      <c r="P105" s="132"/>
      <c r="Q105" s="132"/>
      <c r="R105" s="132"/>
      <c r="S105" s="132"/>
      <c r="T105" s="454"/>
      <c r="U105" s="132"/>
    </row>
    <row r="106" spans="1:21" x14ac:dyDescent="0.25">
      <c r="A106" s="324"/>
      <c r="B106" s="19"/>
      <c r="C106" s="331"/>
      <c r="D106" s="346"/>
      <c r="F106" s="132"/>
      <c r="G106" s="457"/>
      <c r="H106" s="456"/>
      <c r="I106" s="96"/>
      <c r="J106" s="96"/>
      <c r="K106" s="19"/>
      <c r="L106" s="132"/>
      <c r="M106" s="132"/>
      <c r="O106" s="132"/>
      <c r="P106" s="132"/>
      <c r="Q106" s="132"/>
      <c r="R106" s="132"/>
      <c r="S106" s="132"/>
      <c r="T106" s="454"/>
      <c r="U106" s="132"/>
    </row>
    <row r="107" spans="1:21" x14ac:dyDescent="0.25">
      <c r="A107" s="324"/>
      <c r="B107" s="19"/>
      <c r="C107" s="331"/>
      <c r="D107" s="346"/>
      <c r="F107" s="132"/>
      <c r="G107" s="457"/>
      <c r="H107" s="456"/>
      <c r="I107" s="96"/>
      <c r="J107" s="96"/>
      <c r="K107" s="19"/>
      <c r="L107" s="132"/>
      <c r="M107" s="132"/>
      <c r="O107" s="132"/>
      <c r="P107" s="132"/>
      <c r="Q107" s="132"/>
      <c r="R107" s="132"/>
      <c r="S107" s="132"/>
      <c r="T107" s="454"/>
      <c r="U107" s="132"/>
    </row>
    <row r="108" spans="1:21" x14ac:dyDescent="0.25">
      <c r="A108" s="324"/>
      <c r="B108" s="19"/>
      <c r="C108" s="331"/>
      <c r="D108" s="346"/>
      <c r="F108" s="132"/>
      <c r="G108" s="457"/>
      <c r="H108" s="456"/>
      <c r="I108" s="96"/>
      <c r="J108" s="96"/>
      <c r="K108" s="19"/>
      <c r="L108" s="132"/>
      <c r="M108" s="132"/>
      <c r="O108" s="132"/>
      <c r="P108" s="132"/>
      <c r="Q108" s="132"/>
      <c r="R108" s="132"/>
      <c r="S108" s="132"/>
      <c r="T108" s="454"/>
      <c r="U108" s="132"/>
    </row>
    <row r="109" spans="1:21" x14ac:dyDescent="0.25">
      <c r="A109" s="324"/>
      <c r="B109" s="19"/>
      <c r="C109" s="331"/>
      <c r="D109" s="346"/>
      <c r="F109" s="132"/>
      <c r="H109" s="456"/>
      <c r="I109" s="96"/>
      <c r="J109" s="96"/>
      <c r="K109" s="19"/>
      <c r="L109" s="132"/>
      <c r="M109" s="132"/>
      <c r="O109" s="132"/>
      <c r="P109" s="132"/>
      <c r="Q109" s="132"/>
      <c r="R109" s="132"/>
      <c r="S109" s="132"/>
      <c r="T109" s="454"/>
      <c r="U109" s="132"/>
    </row>
    <row r="110" spans="1:21" x14ac:dyDescent="0.25">
      <c r="A110" s="324"/>
      <c r="B110" s="19"/>
      <c r="C110" s="331"/>
      <c r="D110" s="346"/>
      <c r="F110" s="132"/>
      <c r="G110" s="457"/>
      <c r="H110" s="456"/>
      <c r="I110" s="96"/>
      <c r="J110" s="96"/>
      <c r="K110" s="19"/>
      <c r="L110" s="132"/>
      <c r="M110" s="132"/>
      <c r="O110" s="132"/>
      <c r="P110" s="132"/>
      <c r="Q110" s="132"/>
      <c r="R110" s="132"/>
      <c r="S110" s="132"/>
      <c r="T110" s="454"/>
      <c r="U110" s="132"/>
    </row>
    <row r="111" spans="1:21" x14ac:dyDescent="0.25">
      <c r="A111" s="324"/>
      <c r="B111" s="19"/>
      <c r="C111" s="331"/>
      <c r="D111" s="346"/>
      <c r="F111" s="132"/>
      <c r="G111" s="457"/>
      <c r="H111" s="456"/>
      <c r="I111" s="96"/>
      <c r="J111" s="96"/>
      <c r="K111" s="19"/>
      <c r="L111" s="132"/>
      <c r="M111" s="132"/>
      <c r="O111" s="132"/>
      <c r="P111" s="132"/>
      <c r="Q111" s="132"/>
      <c r="R111" s="132"/>
      <c r="S111" s="132"/>
      <c r="T111" s="454"/>
      <c r="U111" s="132"/>
    </row>
    <row r="112" spans="1:21" x14ac:dyDescent="0.25">
      <c r="A112" s="324"/>
      <c r="B112" s="19"/>
      <c r="C112" s="331"/>
      <c r="D112" s="346"/>
      <c r="F112" s="132"/>
      <c r="G112" s="457"/>
      <c r="H112" s="456"/>
      <c r="I112" s="96"/>
      <c r="J112" s="96"/>
      <c r="K112" s="19"/>
      <c r="L112" s="132"/>
      <c r="M112" s="132"/>
      <c r="O112" s="132"/>
      <c r="P112" s="132"/>
      <c r="Q112" s="132"/>
      <c r="R112" s="132"/>
      <c r="S112" s="132"/>
      <c r="T112" s="454"/>
      <c r="U112" s="132"/>
    </row>
    <row r="113" spans="1:21" x14ac:dyDescent="0.25">
      <c r="A113" s="324"/>
      <c r="B113" s="19"/>
      <c r="C113" s="331"/>
      <c r="D113" s="346"/>
      <c r="F113" s="132"/>
      <c r="G113" s="457"/>
      <c r="H113" s="456"/>
      <c r="I113" s="96"/>
      <c r="J113" s="96"/>
      <c r="K113" s="19"/>
      <c r="L113" s="132"/>
      <c r="M113" s="132"/>
      <c r="O113" s="132"/>
      <c r="P113" s="132"/>
      <c r="Q113" s="132"/>
      <c r="R113" s="132"/>
      <c r="S113" s="132"/>
      <c r="T113" s="454"/>
      <c r="U113" s="132"/>
    </row>
    <row r="114" spans="1:21" x14ac:dyDescent="0.25">
      <c r="A114" s="324"/>
      <c r="B114" s="19"/>
      <c r="C114" s="331"/>
      <c r="D114" s="346"/>
      <c r="F114" s="132"/>
      <c r="G114" s="457"/>
      <c r="H114" s="456"/>
      <c r="I114" s="96"/>
      <c r="J114" s="96"/>
      <c r="K114" s="19"/>
      <c r="L114" s="132"/>
      <c r="M114" s="132"/>
      <c r="O114" s="132"/>
      <c r="P114" s="132"/>
      <c r="Q114" s="132"/>
      <c r="R114" s="132"/>
      <c r="S114" s="132"/>
      <c r="T114" s="454"/>
      <c r="U114" s="132"/>
    </row>
    <row r="115" spans="1:21" x14ac:dyDescent="0.25">
      <c r="A115" s="324"/>
      <c r="B115" s="19"/>
      <c r="C115" s="331"/>
      <c r="D115" s="346"/>
      <c r="F115" s="132"/>
      <c r="G115" s="457"/>
      <c r="H115" s="456"/>
      <c r="I115" s="96"/>
      <c r="J115" s="96"/>
      <c r="K115" s="19"/>
      <c r="L115" s="132"/>
      <c r="M115" s="132"/>
      <c r="O115" s="132"/>
      <c r="P115" s="132"/>
      <c r="Q115" s="132"/>
      <c r="R115" s="132"/>
      <c r="S115" s="132"/>
      <c r="T115" s="454"/>
      <c r="U115" s="132"/>
    </row>
    <row r="116" spans="1:21" x14ac:dyDescent="0.25">
      <c r="A116" s="324"/>
      <c r="B116" s="19"/>
      <c r="C116" s="331"/>
      <c r="D116" s="346"/>
      <c r="F116" s="132"/>
      <c r="G116" s="457"/>
      <c r="H116" s="456"/>
      <c r="I116" s="96"/>
      <c r="J116" s="96"/>
      <c r="K116" s="19"/>
      <c r="L116" s="132"/>
      <c r="M116" s="132"/>
      <c r="O116" s="132"/>
      <c r="P116" s="132"/>
      <c r="Q116" s="132"/>
      <c r="R116" s="132"/>
      <c r="S116" s="132"/>
      <c r="T116" s="454"/>
      <c r="U116" s="132"/>
    </row>
    <row r="117" spans="1:21" x14ac:dyDescent="0.25">
      <c r="A117" s="324"/>
      <c r="B117" s="19"/>
      <c r="C117" s="331"/>
      <c r="D117" s="346"/>
      <c r="F117" s="132"/>
      <c r="G117" s="457"/>
      <c r="H117" s="456"/>
      <c r="I117" s="96"/>
      <c r="J117" s="96"/>
      <c r="K117" s="19"/>
      <c r="L117" s="132"/>
      <c r="M117" s="132"/>
      <c r="O117" s="132"/>
      <c r="P117" s="132"/>
      <c r="Q117" s="132"/>
      <c r="R117" s="132"/>
      <c r="S117" s="132"/>
      <c r="T117" s="454"/>
      <c r="U117" s="132"/>
    </row>
    <row r="118" spans="1:21" x14ac:dyDescent="0.25">
      <c r="A118" s="324"/>
      <c r="B118" s="19"/>
      <c r="C118" s="331"/>
      <c r="D118" s="346"/>
      <c r="F118" s="132"/>
      <c r="G118" s="457"/>
      <c r="H118" s="456"/>
      <c r="I118" s="96"/>
      <c r="J118" s="96"/>
      <c r="K118" s="19"/>
      <c r="L118" s="132"/>
      <c r="M118" s="132"/>
      <c r="O118" s="132"/>
      <c r="P118" s="132"/>
      <c r="Q118" s="132"/>
      <c r="R118" s="132"/>
      <c r="S118" s="132"/>
      <c r="T118" s="454"/>
      <c r="U118" s="132"/>
    </row>
    <row r="119" spans="1:21" x14ac:dyDescent="0.25">
      <c r="A119" s="324"/>
      <c r="B119" s="19"/>
      <c r="C119" s="331"/>
      <c r="D119" s="346"/>
      <c r="F119" s="132"/>
      <c r="G119" s="457"/>
      <c r="H119" s="456"/>
      <c r="I119" s="96"/>
      <c r="J119" s="96"/>
      <c r="K119" s="19"/>
      <c r="L119" s="132"/>
      <c r="M119" s="132"/>
      <c r="O119" s="132"/>
      <c r="P119" s="132"/>
      <c r="Q119" s="132"/>
      <c r="R119" s="132"/>
      <c r="S119" s="132"/>
      <c r="T119" s="454"/>
      <c r="U119" s="132"/>
    </row>
    <row r="120" spans="1:21" x14ac:dyDescent="0.25">
      <c r="A120" s="324"/>
      <c r="B120" s="19"/>
      <c r="C120" s="331"/>
      <c r="D120" s="346"/>
      <c r="F120" s="132"/>
      <c r="G120" s="457"/>
      <c r="H120" s="456"/>
      <c r="I120" s="96"/>
      <c r="J120" s="96"/>
      <c r="K120" s="19"/>
      <c r="L120" s="132"/>
      <c r="M120" s="132"/>
      <c r="O120" s="132"/>
      <c r="P120" s="132"/>
      <c r="Q120" s="132"/>
      <c r="R120" s="132"/>
      <c r="S120" s="132"/>
      <c r="T120" s="454"/>
      <c r="U120" s="132"/>
    </row>
    <row r="121" spans="1:21" x14ac:dyDescent="0.25">
      <c r="A121" s="324"/>
      <c r="B121" s="19"/>
      <c r="C121" s="331"/>
      <c r="D121" s="346"/>
      <c r="F121" s="132"/>
      <c r="G121" s="457"/>
      <c r="H121" s="456"/>
      <c r="I121" s="96"/>
      <c r="J121" s="96"/>
      <c r="K121" s="19"/>
      <c r="L121" s="132"/>
      <c r="M121" s="132"/>
      <c r="O121" s="132"/>
      <c r="P121" s="132"/>
      <c r="Q121" s="132"/>
      <c r="R121" s="132"/>
      <c r="S121" s="132"/>
      <c r="T121" s="454"/>
      <c r="U121" s="132"/>
    </row>
    <row r="122" spans="1:21" x14ac:dyDescent="0.25">
      <c r="A122" s="324"/>
      <c r="B122" s="19"/>
      <c r="C122" s="331"/>
      <c r="D122" s="346"/>
      <c r="F122" s="132"/>
      <c r="G122" s="457"/>
      <c r="H122" s="456"/>
      <c r="I122" s="96"/>
      <c r="J122" s="96"/>
      <c r="K122" s="19"/>
      <c r="L122" s="132"/>
      <c r="M122" s="132"/>
      <c r="O122" s="132"/>
      <c r="P122" s="132"/>
      <c r="Q122" s="132"/>
      <c r="R122" s="132"/>
      <c r="S122" s="132"/>
      <c r="T122" s="454"/>
      <c r="U122" s="132"/>
    </row>
    <row r="123" spans="1:21" x14ac:dyDescent="0.25">
      <c r="A123" s="324"/>
      <c r="B123" s="19"/>
      <c r="C123" s="331"/>
      <c r="D123" s="346"/>
      <c r="F123" s="132"/>
      <c r="G123" s="457"/>
      <c r="H123" s="456"/>
      <c r="I123" s="96"/>
      <c r="J123" s="96"/>
      <c r="K123" s="19"/>
      <c r="L123" s="132"/>
      <c r="M123" s="132"/>
      <c r="O123" s="132"/>
      <c r="P123" s="132"/>
      <c r="Q123" s="132"/>
      <c r="R123" s="132"/>
      <c r="S123" s="132"/>
      <c r="T123" s="454"/>
      <c r="U123" s="132"/>
    </row>
    <row r="124" spans="1:21" x14ac:dyDescent="0.25">
      <c r="A124" s="324"/>
      <c r="B124" s="19"/>
      <c r="C124" s="331"/>
      <c r="D124" s="346"/>
      <c r="F124" s="132"/>
      <c r="G124" s="457"/>
      <c r="H124" s="456"/>
      <c r="I124" s="96"/>
      <c r="J124" s="96"/>
      <c r="K124" s="19"/>
      <c r="L124" s="132"/>
      <c r="M124" s="132"/>
      <c r="O124" s="132"/>
      <c r="P124" s="132"/>
      <c r="Q124" s="132"/>
      <c r="R124" s="132"/>
      <c r="S124" s="132"/>
      <c r="T124" s="454"/>
      <c r="U124" s="132"/>
    </row>
    <row r="125" spans="1:21" x14ac:dyDescent="0.25">
      <c r="A125" s="324"/>
      <c r="B125" s="19"/>
      <c r="C125" s="331"/>
      <c r="D125" s="346"/>
      <c r="F125" s="132"/>
      <c r="G125" s="457"/>
      <c r="H125" s="456"/>
      <c r="I125" s="96"/>
      <c r="J125" s="96"/>
      <c r="K125" s="19"/>
      <c r="L125" s="132"/>
      <c r="M125" s="132"/>
      <c r="O125" s="132"/>
      <c r="P125" s="132"/>
      <c r="Q125" s="132"/>
      <c r="R125" s="132"/>
      <c r="S125" s="132"/>
      <c r="T125" s="454"/>
      <c r="U125" s="132"/>
    </row>
    <row r="126" spans="1:21" x14ac:dyDescent="0.25">
      <c r="A126" s="324"/>
      <c r="B126" s="19"/>
      <c r="C126" s="331"/>
      <c r="D126" s="346"/>
      <c r="F126" s="132"/>
      <c r="G126" s="457"/>
      <c r="H126" s="456"/>
      <c r="I126" s="96"/>
      <c r="J126" s="96"/>
      <c r="K126" s="19"/>
      <c r="L126" s="132"/>
      <c r="M126" s="132"/>
      <c r="O126" s="132"/>
      <c r="P126" s="132"/>
      <c r="Q126" s="132"/>
      <c r="R126" s="132"/>
      <c r="S126" s="132"/>
      <c r="T126" s="454"/>
      <c r="U126" s="132"/>
    </row>
    <row r="127" spans="1:21" x14ac:dyDescent="0.25">
      <c r="A127" s="324"/>
      <c r="B127" s="19"/>
      <c r="C127" s="331"/>
      <c r="D127" s="346"/>
      <c r="F127" s="132"/>
      <c r="G127" s="457"/>
      <c r="H127" s="456"/>
      <c r="I127" s="96"/>
      <c r="J127" s="96"/>
      <c r="K127" s="19"/>
      <c r="L127" s="132"/>
      <c r="M127" s="132"/>
      <c r="O127" s="132"/>
      <c r="P127" s="132"/>
      <c r="Q127" s="132"/>
      <c r="R127" s="132"/>
      <c r="S127" s="132"/>
      <c r="T127" s="454"/>
      <c r="U127" s="132"/>
    </row>
    <row r="128" spans="1:21" x14ac:dyDescent="0.25">
      <c r="A128" s="324"/>
      <c r="B128" s="19"/>
      <c r="C128" s="331"/>
      <c r="D128" s="346"/>
      <c r="F128" s="132"/>
      <c r="G128" s="457"/>
      <c r="H128" s="456"/>
      <c r="I128" s="96"/>
      <c r="J128" s="96"/>
      <c r="K128" s="19"/>
      <c r="L128" s="132"/>
      <c r="M128" s="132"/>
      <c r="O128" s="132"/>
      <c r="P128" s="132"/>
      <c r="Q128" s="132"/>
      <c r="R128" s="132"/>
      <c r="S128" s="132"/>
      <c r="T128" s="454"/>
      <c r="U128" s="132"/>
    </row>
    <row r="129" spans="1:21" x14ac:dyDescent="0.25">
      <c r="A129" s="324"/>
      <c r="B129" s="19"/>
      <c r="C129" s="331"/>
      <c r="D129" s="346"/>
      <c r="F129" s="132"/>
      <c r="G129" s="457"/>
      <c r="H129" s="456"/>
      <c r="I129" s="96"/>
      <c r="J129" s="96"/>
      <c r="K129" s="19"/>
      <c r="L129" s="132"/>
      <c r="M129" s="132"/>
      <c r="O129" s="132"/>
      <c r="P129" s="132"/>
      <c r="Q129" s="132"/>
      <c r="R129" s="132"/>
      <c r="S129" s="132"/>
      <c r="T129" s="454"/>
      <c r="U129" s="132"/>
    </row>
    <row r="130" spans="1:21" x14ac:dyDescent="0.25">
      <c r="A130" s="324"/>
      <c r="B130" s="19"/>
      <c r="C130" s="331"/>
      <c r="D130" s="346"/>
      <c r="F130" s="132"/>
      <c r="G130" s="457"/>
      <c r="H130" s="456"/>
      <c r="I130" s="96"/>
      <c r="J130" s="96"/>
      <c r="K130" s="19"/>
      <c r="L130" s="132"/>
      <c r="M130" s="132"/>
      <c r="O130" s="132"/>
      <c r="P130" s="132"/>
      <c r="Q130" s="132"/>
      <c r="R130" s="132"/>
      <c r="S130" s="132"/>
      <c r="T130" s="454"/>
      <c r="U130" s="132"/>
    </row>
    <row r="131" spans="1:21" x14ac:dyDescent="0.25">
      <c r="A131" s="324"/>
      <c r="B131" s="19"/>
      <c r="C131" s="331"/>
      <c r="D131" s="346"/>
      <c r="F131" s="132"/>
      <c r="G131" s="457"/>
      <c r="H131" s="456"/>
      <c r="I131" s="96"/>
      <c r="J131" s="96"/>
      <c r="K131" s="19"/>
      <c r="L131" s="132"/>
      <c r="M131" s="132"/>
      <c r="O131" s="132"/>
      <c r="P131" s="132"/>
      <c r="Q131" s="132"/>
      <c r="R131" s="132"/>
      <c r="S131" s="132"/>
      <c r="T131" s="454"/>
      <c r="U131" s="132"/>
    </row>
    <row r="132" spans="1:21" x14ac:dyDescent="0.25">
      <c r="A132" s="324"/>
      <c r="B132" s="19"/>
      <c r="C132" s="331"/>
      <c r="D132" s="346"/>
      <c r="F132" s="132"/>
      <c r="H132" s="456"/>
      <c r="I132" s="96"/>
      <c r="J132" s="96"/>
      <c r="K132" s="19"/>
      <c r="L132" s="132"/>
      <c r="M132" s="132"/>
      <c r="O132" s="132"/>
      <c r="P132" s="132"/>
      <c r="Q132" s="132"/>
      <c r="R132" s="132"/>
      <c r="S132" s="132"/>
      <c r="T132" s="454"/>
      <c r="U132" s="132"/>
    </row>
    <row r="133" spans="1:21" x14ac:dyDescent="0.25">
      <c r="A133" s="324"/>
      <c r="B133" s="19"/>
      <c r="C133" s="331"/>
      <c r="D133" s="346"/>
      <c r="F133" s="132"/>
      <c r="G133" s="457"/>
      <c r="H133" s="456"/>
      <c r="I133" s="96"/>
      <c r="J133" s="96"/>
      <c r="K133" s="19"/>
      <c r="L133" s="132"/>
      <c r="M133" s="132"/>
      <c r="O133" s="132"/>
      <c r="P133" s="132"/>
      <c r="Q133" s="132"/>
      <c r="R133" s="132"/>
      <c r="S133" s="132"/>
      <c r="T133" s="454"/>
      <c r="U133" s="132"/>
    </row>
    <row r="134" spans="1:21" x14ac:dyDescent="0.25">
      <c r="A134" s="324"/>
      <c r="B134" s="19"/>
      <c r="C134" s="331"/>
      <c r="D134" s="346"/>
      <c r="F134" s="132"/>
      <c r="G134" s="457"/>
      <c r="H134" s="456"/>
      <c r="I134" s="96"/>
      <c r="J134" s="96"/>
      <c r="K134" s="19"/>
      <c r="L134" s="132"/>
      <c r="M134" s="132"/>
      <c r="O134" s="132"/>
      <c r="P134" s="132"/>
      <c r="Q134" s="132"/>
      <c r="R134" s="132"/>
      <c r="S134" s="132"/>
      <c r="T134" s="454"/>
      <c r="U134" s="132"/>
    </row>
    <row r="135" spans="1:21" x14ac:dyDescent="0.25">
      <c r="A135" s="324"/>
      <c r="B135" s="19"/>
      <c r="C135" s="331"/>
      <c r="D135" s="346"/>
      <c r="F135" s="132"/>
      <c r="H135" s="456"/>
      <c r="I135" s="96"/>
      <c r="J135" s="96"/>
      <c r="K135" s="19"/>
      <c r="L135" s="132"/>
      <c r="M135" s="132"/>
      <c r="O135" s="132"/>
      <c r="P135" s="132"/>
      <c r="Q135" s="132"/>
      <c r="R135" s="132"/>
      <c r="S135" s="132"/>
      <c r="T135" s="454"/>
      <c r="U135" s="132"/>
    </row>
    <row r="136" spans="1:21" x14ac:dyDescent="0.25">
      <c r="A136" s="324"/>
      <c r="B136" s="19"/>
      <c r="C136" s="331"/>
      <c r="D136" s="346"/>
      <c r="F136" s="132"/>
      <c r="G136" s="457"/>
      <c r="H136" s="456"/>
      <c r="I136" s="96"/>
      <c r="J136" s="96"/>
      <c r="K136" s="19"/>
      <c r="L136" s="132"/>
      <c r="M136" s="132"/>
      <c r="O136" s="132"/>
      <c r="P136" s="132"/>
      <c r="Q136" s="132"/>
      <c r="R136" s="132"/>
      <c r="S136" s="132"/>
      <c r="T136" s="454"/>
      <c r="U136" s="132"/>
    </row>
    <row r="137" spans="1:21" x14ac:dyDescent="0.25">
      <c r="A137" s="324"/>
      <c r="B137" s="19"/>
      <c r="C137" s="331"/>
      <c r="D137" s="346"/>
      <c r="F137" s="132"/>
      <c r="G137" s="457"/>
      <c r="H137" s="456"/>
      <c r="I137" s="96"/>
      <c r="J137" s="96"/>
      <c r="K137" s="19"/>
      <c r="L137" s="132"/>
      <c r="M137" s="132"/>
      <c r="O137" s="132"/>
      <c r="P137" s="132"/>
      <c r="Q137" s="132"/>
      <c r="R137" s="132"/>
      <c r="S137" s="132"/>
      <c r="T137" s="454"/>
      <c r="U137" s="132"/>
    </row>
    <row r="138" spans="1:21" x14ac:dyDescent="0.25">
      <c r="A138" s="324"/>
      <c r="B138" s="19"/>
      <c r="C138" s="331"/>
      <c r="D138" s="346"/>
      <c r="F138" s="132"/>
      <c r="G138" s="457"/>
      <c r="H138" s="456"/>
      <c r="I138" s="96"/>
      <c r="J138" s="96"/>
      <c r="K138" s="19"/>
      <c r="L138" s="132"/>
      <c r="M138" s="132"/>
      <c r="O138" s="132"/>
      <c r="P138" s="132"/>
      <c r="Q138" s="132"/>
      <c r="R138" s="132"/>
      <c r="S138" s="132"/>
      <c r="T138" s="454"/>
      <c r="U138" s="132"/>
    </row>
    <row r="139" spans="1:21" x14ac:dyDescent="0.25">
      <c r="A139" s="324"/>
      <c r="B139" s="19"/>
      <c r="C139" s="331"/>
      <c r="D139" s="346"/>
      <c r="F139" s="132"/>
      <c r="G139" s="457"/>
      <c r="H139" s="456"/>
      <c r="I139" s="96"/>
      <c r="J139" s="96"/>
      <c r="K139" s="19"/>
      <c r="L139" s="132"/>
      <c r="M139" s="132"/>
      <c r="O139" s="132"/>
      <c r="P139" s="132"/>
      <c r="Q139" s="132"/>
      <c r="R139" s="132"/>
      <c r="S139" s="132"/>
      <c r="T139" s="454"/>
      <c r="U139" s="132"/>
    </row>
    <row r="140" spans="1:21" x14ac:dyDescent="0.25">
      <c r="A140" s="324"/>
      <c r="B140" s="19"/>
      <c r="C140" s="331"/>
      <c r="D140" s="346"/>
      <c r="F140" s="132"/>
      <c r="G140" s="457"/>
      <c r="H140" s="456"/>
      <c r="I140" s="96"/>
      <c r="J140" s="96"/>
      <c r="K140" s="19"/>
      <c r="L140" s="132"/>
      <c r="M140" s="132"/>
      <c r="O140" s="132"/>
      <c r="P140" s="132"/>
      <c r="Q140" s="132"/>
      <c r="R140" s="132"/>
      <c r="S140" s="132"/>
      <c r="T140" s="454"/>
      <c r="U140" s="132"/>
    </row>
    <row r="141" spans="1:21" x14ac:dyDescent="0.25">
      <c r="A141" s="324"/>
      <c r="B141" s="19"/>
      <c r="C141" s="331"/>
      <c r="D141" s="346"/>
      <c r="F141" s="132"/>
      <c r="G141" s="457"/>
      <c r="H141" s="456"/>
      <c r="I141" s="96"/>
      <c r="J141" s="96"/>
      <c r="K141" s="19"/>
      <c r="L141" s="132"/>
      <c r="M141" s="132"/>
      <c r="O141" s="132"/>
      <c r="P141" s="132"/>
      <c r="Q141" s="132"/>
      <c r="R141" s="132"/>
      <c r="S141" s="132"/>
      <c r="T141" s="454"/>
      <c r="U141" s="132"/>
    </row>
    <row r="142" spans="1:21" x14ac:dyDescent="0.25">
      <c r="A142" s="324"/>
      <c r="B142" s="19"/>
      <c r="C142" s="331"/>
      <c r="D142" s="346"/>
      <c r="F142" s="132"/>
      <c r="G142" s="457"/>
      <c r="H142" s="456"/>
      <c r="I142" s="96"/>
      <c r="J142" s="96"/>
      <c r="K142" s="19"/>
      <c r="L142" s="132"/>
      <c r="M142" s="132"/>
      <c r="O142" s="132"/>
      <c r="P142" s="132"/>
      <c r="Q142" s="132"/>
      <c r="R142" s="132"/>
      <c r="S142" s="132"/>
      <c r="T142" s="454"/>
      <c r="U142" s="132"/>
    </row>
    <row r="143" spans="1:21" x14ac:dyDescent="0.25">
      <c r="A143" s="324"/>
      <c r="B143" s="19"/>
      <c r="C143" s="331"/>
      <c r="D143" s="346"/>
      <c r="F143" s="132"/>
      <c r="G143" s="457"/>
      <c r="H143" s="456"/>
      <c r="I143" s="96"/>
      <c r="J143" s="96"/>
      <c r="K143" s="19"/>
      <c r="L143" s="132"/>
      <c r="M143" s="132"/>
      <c r="O143" s="132"/>
      <c r="P143" s="132"/>
      <c r="Q143" s="132"/>
      <c r="R143" s="132"/>
      <c r="S143" s="132"/>
      <c r="T143" s="454"/>
      <c r="U143" s="132"/>
    </row>
    <row r="144" spans="1:21" x14ac:dyDescent="0.25">
      <c r="A144" s="324"/>
      <c r="B144" s="19"/>
      <c r="C144" s="331"/>
      <c r="D144" s="346"/>
      <c r="F144" s="132"/>
      <c r="G144" s="457"/>
      <c r="H144" s="456"/>
      <c r="I144" s="96"/>
      <c r="J144" s="96"/>
      <c r="K144" s="19"/>
      <c r="L144" s="132"/>
      <c r="M144" s="132"/>
      <c r="O144" s="132"/>
      <c r="P144" s="132"/>
      <c r="Q144" s="132"/>
      <c r="R144" s="132"/>
      <c r="S144" s="132"/>
      <c r="T144" s="454"/>
      <c r="U144" s="132"/>
    </row>
    <row r="145" spans="1:21" x14ac:dyDescent="0.25">
      <c r="A145" s="324"/>
      <c r="B145" s="19"/>
      <c r="C145" s="331"/>
      <c r="D145" s="346"/>
      <c r="F145" s="132"/>
      <c r="G145" s="457"/>
      <c r="H145" s="456"/>
      <c r="I145" s="96"/>
      <c r="J145" s="96"/>
      <c r="K145" s="19"/>
      <c r="L145" s="132"/>
      <c r="M145" s="132"/>
      <c r="O145" s="132"/>
      <c r="P145" s="132"/>
      <c r="Q145" s="132"/>
      <c r="R145" s="132"/>
      <c r="S145" s="132"/>
      <c r="T145" s="454"/>
      <c r="U145" s="132"/>
    </row>
    <row r="146" spans="1:21" x14ac:dyDescent="0.25">
      <c r="A146" s="324"/>
      <c r="B146" s="19"/>
      <c r="C146" s="331"/>
      <c r="D146" s="346"/>
      <c r="F146" s="132"/>
      <c r="G146" s="457"/>
      <c r="H146" s="456"/>
      <c r="I146" s="96"/>
      <c r="J146" s="96"/>
      <c r="K146" s="19"/>
      <c r="L146" s="132"/>
      <c r="M146" s="132"/>
      <c r="O146" s="132"/>
      <c r="P146" s="132"/>
      <c r="Q146" s="132"/>
      <c r="R146" s="132"/>
      <c r="S146" s="132"/>
      <c r="T146" s="454"/>
      <c r="U146" s="132"/>
    </row>
    <row r="147" spans="1:21" x14ac:dyDescent="0.25">
      <c r="A147" s="324"/>
      <c r="B147" s="19"/>
      <c r="C147" s="331"/>
      <c r="D147" s="346"/>
      <c r="E147" s="457"/>
      <c r="F147" s="456"/>
      <c r="G147" s="457"/>
      <c r="H147" s="456"/>
      <c r="I147" s="96"/>
      <c r="J147" s="96"/>
      <c r="K147" s="19"/>
      <c r="L147" s="132"/>
      <c r="M147" s="132"/>
      <c r="O147" s="132"/>
      <c r="P147" s="132"/>
      <c r="Q147" s="132"/>
      <c r="R147" s="132"/>
      <c r="S147" s="132"/>
      <c r="T147" s="454"/>
      <c r="U147" s="132"/>
    </row>
    <row r="148" spans="1:21" x14ac:dyDescent="0.25">
      <c r="A148" s="324"/>
      <c r="B148" s="19"/>
      <c r="C148" s="331"/>
      <c r="D148" s="346"/>
      <c r="F148" s="132"/>
      <c r="G148" s="457"/>
      <c r="H148" s="456"/>
      <c r="I148" s="96"/>
      <c r="J148" s="96"/>
      <c r="K148" s="19"/>
      <c r="L148" s="132"/>
      <c r="M148" s="132"/>
      <c r="O148" s="132"/>
      <c r="P148" s="132"/>
      <c r="Q148" s="132"/>
      <c r="R148" s="132"/>
      <c r="S148" s="132"/>
      <c r="T148" s="454"/>
      <c r="U148" s="132"/>
    </row>
    <row r="149" spans="1:21" x14ac:dyDescent="0.25">
      <c r="A149" s="324"/>
      <c r="B149" s="19"/>
      <c r="C149" s="331"/>
      <c r="D149" s="346"/>
      <c r="F149" s="132"/>
      <c r="G149" s="457"/>
      <c r="H149" s="456"/>
      <c r="I149" s="96"/>
      <c r="J149" s="96"/>
      <c r="K149" s="19"/>
      <c r="L149" s="132"/>
      <c r="M149" s="132"/>
      <c r="O149" s="132"/>
      <c r="P149" s="132"/>
      <c r="Q149" s="132"/>
      <c r="R149" s="132"/>
      <c r="S149" s="132"/>
      <c r="T149" s="454"/>
      <c r="U149" s="132"/>
    </row>
    <row r="150" spans="1:21" x14ac:dyDescent="0.25">
      <c r="A150" s="324"/>
      <c r="B150" s="19"/>
      <c r="C150" s="331"/>
      <c r="D150" s="346"/>
      <c r="F150" s="132"/>
      <c r="G150" s="457"/>
      <c r="H150" s="456"/>
      <c r="I150" s="96"/>
      <c r="J150" s="96"/>
      <c r="K150" s="19"/>
      <c r="L150" s="132"/>
      <c r="M150" s="132"/>
      <c r="O150" s="132"/>
      <c r="P150" s="132"/>
      <c r="Q150" s="132"/>
      <c r="R150" s="132"/>
      <c r="S150" s="132"/>
      <c r="T150" s="454"/>
      <c r="U150" s="132"/>
    </row>
    <row r="151" spans="1:21" x14ac:dyDescent="0.25">
      <c r="A151" s="324"/>
      <c r="B151" s="19"/>
      <c r="C151" s="331"/>
      <c r="D151" s="346"/>
      <c r="F151" s="132"/>
      <c r="G151" s="457"/>
      <c r="H151" s="456"/>
      <c r="I151" s="96"/>
      <c r="J151" s="96"/>
      <c r="K151" s="19"/>
      <c r="L151" s="132"/>
      <c r="M151" s="132"/>
      <c r="O151" s="132"/>
      <c r="P151" s="132"/>
      <c r="Q151" s="132"/>
      <c r="R151" s="132"/>
      <c r="S151" s="132"/>
      <c r="T151" s="454"/>
      <c r="U151" s="132"/>
    </row>
    <row r="152" spans="1:21" x14ac:dyDescent="0.25">
      <c r="A152" s="324"/>
      <c r="B152" s="19"/>
      <c r="C152" s="331"/>
      <c r="D152" s="346"/>
      <c r="F152" s="132"/>
      <c r="G152" s="457"/>
      <c r="H152" s="456"/>
      <c r="I152" s="96"/>
      <c r="J152" s="96"/>
      <c r="K152" s="19"/>
      <c r="L152" s="132"/>
      <c r="M152" s="132"/>
      <c r="O152" s="132"/>
      <c r="P152" s="132"/>
      <c r="Q152" s="132"/>
      <c r="R152" s="132"/>
      <c r="S152" s="132"/>
      <c r="T152" s="454"/>
      <c r="U152" s="132"/>
    </row>
    <row r="153" spans="1:21" x14ac:dyDescent="0.25">
      <c r="A153" s="324"/>
      <c r="B153" s="19"/>
      <c r="C153" s="331"/>
      <c r="D153" s="346"/>
      <c r="F153" s="132"/>
      <c r="G153" s="457"/>
      <c r="H153" s="456"/>
      <c r="I153" s="96"/>
      <c r="J153" s="96"/>
      <c r="K153" s="19"/>
      <c r="L153" s="132"/>
      <c r="M153" s="132"/>
      <c r="O153" s="132"/>
      <c r="P153" s="132"/>
      <c r="Q153" s="132"/>
      <c r="R153" s="132"/>
      <c r="S153" s="132"/>
      <c r="T153" s="454"/>
      <c r="U153" s="132"/>
    </row>
    <row r="154" spans="1:21" x14ac:dyDescent="0.25">
      <c r="A154" s="324"/>
      <c r="B154" s="19"/>
      <c r="C154" s="331"/>
      <c r="D154" s="346"/>
      <c r="F154" s="132"/>
      <c r="H154" s="456"/>
      <c r="I154" s="96"/>
      <c r="J154" s="96"/>
      <c r="K154" s="19"/>
      <c r="L154" s="132"/>
      <c r="M154" s="132"/>
      <c r="O154" s="132"/>
      <c r="P154" s="132"/>
      <c r="Q154" s="132"/>
      <c r="R154" s="132"/>
      <c r="S154" s="132"/>
      <c r="T154" s="454"/>
      <c r="U154" s="132"/>
    </row>
    <row r="155" spans="1:21" x14ac:dyDescent="0.25">
      <c r="A155" s="324"/>
      <c r="B155" s="19"/>
      <c r="C155" s="331"/>
      <c r="D155" s="346"/>
      <c r="F155" s="132"/>
      <c r="G155" s="457"/>
      <c r="H155" s="456"/>
      <c r="I155" s="96"/>
      <c r="J155" s="96"/>
      <c r="K155" s="19"/>
      <c r="L155" s="132"/>
      <c r="M155" s="132"/>
      <c r="O155" s="132"/>
      <c r="P155" s="132"/>
      <c r="Q155" s="132"/>
      <c r="R155" s="132"/>
      <c r="S155" s="132"/>
      <c r="T155" s="454"/>
      <c r="U155" s="132"/>
    </row>
    <row r="156" spans="1:21" x14ac:dyDescent="0.25">
      <c r="A156" s="324"/>
      <c r="B156" s="19"/>
      <c r="C156" s="331"/>
      <c r="D156" s="346"/>
      <c r="F156" s="132"/>
      <c r="G156" s="457"/>
      <c r="H156" s="456"/>
      <c r="I156" s="96"/>
      <c r="J156" s="96"/>
      <c r="K156" s="19"/>
      <c r="L156" s="132"/>
      <c r="M156" s="132"/>
      <c r="O156" s="132"/>
      <c r="P156" s="132"/>
      <c r="Q156" s="132"/>
      <c r="R156" s="132"/>
      <c r="S156" s="132"/>
      <c r="T156" s="454"/>
      <c r="U156" s="132"/>
    </row>
    <row r="157" spans="1:21" x14ac:dyDescent="0.25">
      <c r="A157" s="324"/>
      <c r="B157" s="19"/>
      <c r="C157" s="331"/>
      <c r="D157" s="346"/>
      <c r="F157" s="132"/>
      <c r="G157" s="457"/>
      <c r="H157" s="456"/>
      <c r="I157" s="96"/>
      <c r="J157" s="96"/>
      <c r="K157" s="19"/>
      <c r="L157" s="132"/>
      <c r="M157" s="132"/>
      <c r="O157" s="132"/>
      <c r="P157" s="132"/>
      <c r="Q157" s="132"/>
      <c r="R157" s="132"/>
      <c r="S157" s="132"/>
      <c r="T157" s="454"/>
      <c r="U157" s="132"/>
    </row>
    <row r="158" spans="1:21" x14ac:dyDescent="0.25">
      <c r="A158" s="324"/>
      <c r="B158" s="19"/>
      <c r="C158" s="331"/>
      <c r="D158" s="346"/>
      <c r="F158" s="132"/>
      <c r="G158" s="457"/>
      <c r="H158" s="456"/>
      <c r="I158" s="96"/>
      <c r="J158" s="96"/>
      <c r="K158" s="19"/>
      <c r="L158" s="132"/>
      <c r="M158" s="132"/>
      <c r="O158" s="132"/>
      <c r="P158" s="132"/>
      <c r="Q158" s="132"/>
      <c r="R158" s="132"/>
      <c r="S158" s="132"/>
      <c r="T158" s="454"/>
      <c r="U158" s="132"/>
    </row>
    <row r="159" spans="1:21" x14ac:dyDescent="0.25">
      <c r="A159" s="324"/>
      <c r="B159" s="19"/>
      <c r="C159" s="331"/>
      <c r="D159" s="346"/>
      <c r="F159" s="132"/>
      <c r="G159" s="457"/>
      <c r="H159" s="456"/>
      <c r="I159" s="96"/>
      <c r="J159" s="96"/>
      <c r="K159" s="19"/>
      <c r="L159" s="132"/>
      <c r="M159" s="132"/>
      <c r="O159" s="132"/>
      <c r="P159" s="132"/>
      <c r="Q159" s="132"/>
      <c r="R159" s="132"/>
      <c r="S159" s="132"/>
      <c r="T159" s="454"/>
      <c r="U159" s="132"/>
    </row>
    <row r="160" spans="1:21" x14ac:dyDescent="0.25">
      <c r="A160" s="324"/>
      <c r="B160" s="19"/>
      <c r="C160" s="331"/>
      <c r="D160" s="346"/>
      <c r="F160" s="132"/>
      <c r="G160" s="457"/>
      <c r="H160" s="456"/>
      <c r="I160" s="96"/>
      <c r="J160" s="96"/>
      <c r="K160" s="19"/>
      <c r="L160" s="132"/>
      <c r="M160" s="132"/>
      <c r="O160" s="132"/>
      <c r="P160" s="132"/>
      <c r="Q160" s="132"/>
      <c r="R160" s="132"/>
      <c r="S160" s="132"/>
      <c r="T160" s="454"/>
      <c r="U160" s="132"/>
    </row>
    <row r="161" spans="1:21" x14ac:dyDescent="0.25">
      <c r="A161" s="324"/>
      <c r="B161" s="19"/>
      <c r="C161" s="331"/>
      <c r="D161" s="346"/>
      <c r="F161" s="132"/>
      <c r="G161" s="457"/>
      <c r="H161" s="456"/>
      <c r="I161" s="96"/>
      <c r="J161" s="96"/>
      <c r="K161" s="19"/>
      <c r="L161" s="132"/>
      <c r="M161" s="132"/>
      <c r="O161" s="132"/>
      <c r="P161" s="132"/>
      <c r="Q161" s="132"/>
      <c r="R161" s="132"/>
      <c r="S161" s="132"/>
      <c r="T161" s="454"/>
      <c r="U161" s="132"/>
    </row>
    <row r="162" spans="1:21" x14ac:dyDescent="0.25">
      <c r="A162" s="324"/>
      <c r="B162" s="19"/>
      <c r="C162" s="331"/>
      <c r="D162" s="346"/>
      <c r="E162" s="457"/>
      <c r="F162" s="456"/>
      <c r="G162" s="457"/>
      <c r="H162" s="456"/>
      <c r="I162" s="96"/>
      <c r="J162" s="96"/>
      <c r="K162" s="19"/>
      <c r="L162" s="132"/>
      <c r="M162" s="132"/>
      <c r="O162" s="132"/>
      <c r="P162" s="132"/>
      <c r="Q162" s="132"/>
      <c r="R162" s="132"/>
      <c r="S162" s="132"/>
      <c r="T162" s="454"/>
      <c r="U162" s="132"/>
    </row>
    <row r="163" spans="1:21" x14ac:dyDescent="0.25">
      <c r="A163" s="324"/>
      <c r="B163" s="19"/>
      <c r="C163" s="331"/>
      <c r="D163" s="346"/>
      <c r="E163" s="457"/>
      <c r="F163" s="456"/>
      <c r="G163" s="457"/>
      <c r="H163" s="456"/>
      <c r="I163" s="96"/>
      <c r="J163" s="96"/>
      <c r="K163" s="19"/>
      <c r="L163" s="132"/>
      <c r="M163" s="132"/>
      <c r="O163" s="132"/>
      <c r="P163" s="132"/>
      <c r="Q163" s="132"/>
      <c r="R163" s="132"/>
      <c r="S163" s="132"/>
      <c r="T163" s="454"/>
      <c r="U163" s="132"/>
    </row>
    <row r="164" spans="1:21" x14ac:dyDescent="0.25">
      <c r="A164" s="324"/>
      <c r="B164" s="19"/>
      <c r="C164" s="331"/>
      <c r="D164" s="346"/>
      <c r="F164" s="132"/>
      <c r="G164" s="457"/>
      <c r="H164" s="456"/>
      <c r="I164" s="96"/>
      <c r="J164" s="96"/>
      <c r="K164" s="19"/>
      <c r="L164" s="132"/>
      <c r="M164" s="132"/>
      <c r="O164" s="132"/>
      <c r="P164" s="132"/>
      <c r="Q164" s="132"/>
      <c r="R164" s="132"/>
      <c r="S164" s="132"/>
      <c r="T164" s="454"/>
      <c r="U164" s="132"/>
    </row>
    <row r="165" spans="1:21" x14ac:dyDescent="0.25">
      <c r="A165" s="324"/>
      <c r="B165" s="19"/>
      <c r="C165" s="331"/>
      <c r="D165" s="346"/>
      <c r="F165" s="132"/>
      <c r="G165" s="457"/>
      <c r="H165" s="456"/>
      <c r="I165" s="96"/>
      <c r="J165" s="96"/>
      <c r="K165" s="19"/>
      <c r="L165" s="132"/>
      <c r="M165" s="132"/>
      <c r="O165" s="132"/>
      <c r="P165" s="132"/>
      <c r="Q165" s="132"/>
      <c r="R165" s="132"/>
      <c r="S165" s="132"/>
      <c r="T165" s="454"/>
      <c r="U165" s="132"/>
    </row>
    <row r="166" spans="1:21" x14ac:dyDescent="0.25">
      <c r="A166" s="458"/>
      <c r="B166" s="458"/>
      <c r="C166" s="458"/>
      <c r="D166" s="458"/>
      <c r="E166" s="458"/>
      <c r="F166" s="459"/>
      <c r="G166" s="458"/>
      <c r="H166" s="459"/>
      <c r="I166" s="458"/>
      <c r="J166" s="458"/>
      <c r="K166" s="458"/>
      <c r="L166" s="460"/>
      <c r="M166" s="460"/>
      <c r="N166" s="460"/>
      <c r="O166" s="460"/>
      <c r="P166" s="460"/>
      <c r="Q166" s="460"/>
      <c r="R166" s="460"/>
      <c r="S166" s="460"/>
      <c r="T166" s="461"/>
      <c r="U166" s="460"/>
    </row>
  </sheetData>
  <mergeCells count="6">
    <mergeCell ref="Q1:S1"/>
    <mergeCell ref="A1:D1"/>
    <mergeCell ref="E1:H1"/>
    <mergeCell ref="K1:L1"/>
    <mergeCell ref="N1:O1"/>
    <mergeCell ref="P1:P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249977111117893"/>
  </sheetPr>
  <dimension ref="A1:N150"/>
  <sheetViews>
    <sheetView workbookViewId="0">
      <selection activeCell="D1" sqref="D1"/>
    </sheetView>
  </sheetViews>
  <sheetFormatPr defaultRowHeight="15" x14ac:dyDescent="0.25"/>
  <cols>
    <col min="3" max="3" width="19.7109375" customWidth="1"/>
    <col min="4" max="4" width="26" customWidth="1"/>
    <col min="9" max="9" width="23.7109375" customWidth="1"/>
    <col min="10" max="10" width="15.5703125" customWidth="1"/>
  </cols>
  <sheetData>
    <row r="1" spans="1:14" ht="19.5" thickBot="1" x14ac:dyDescent="0.35">
      <c r="A1" s="352"/>
      <c r="B1" s="352"/>
      <c r="C1" s="352"/>
      <c r="D1" s="411" t="s">
        <v>449</v>
      </c>
      <c r="E1" s="96"/>
      <c r="G1" s="19"/>
      <c r="H1" s="19"/>
      <c r="I1" s="19"/>
      <c r="J1" s="19"/>
    </row>
    <row r="2" spans="1:14" x14ac:dyDescent="0.25">
      <c r="A2" s="391" t="s">
        <v>147</v>
      </c>
      <c r="B2" s="392"/>
      <c r="C2" s="393"/>
      <c r="D2" s="412"/>
      <c r="E2" s="400"/>
      <c r="F2" s="22"/>
      <c r="G2" s="377"/>
      <c r="H2" s="464"/>
      <c r="I2" s="379" t="s">
        <v>148</v>
      </c>
      <c r="J2" s="413"/>
    </row>
    <row r="3" spans="1:14" x14ac:dyDescent="0.25">
      <c r="A3" s="414" t="s">
        <v>71</v>
      </c>
      <c r="B3" s="35" t="s">
        <v>11</v>
      </c>
      <c r="C3" s="35" t="s">
        <v>72</v>
      </c>
      <c r="D3" s="21" t="s">
        <v>73</v>
      </c>
      <c r="E3" s="415" t="s">
        <v>74</v>
      </c>
      <c r="G3" s="414" t="s">
        <v>71</v>
      </c>
      <c r="H3" s="35" t="s">
        <v>11</v>
      </c>
      <c r="I3" s="21" t="s">
        <v>75</v>
      </c>
      <c r="J3" s="467" t="s">
        <v>74</v>
      </c>
    </row>
    <row r="4" spans="1:14" x14ac:dyDescent="0.25">
      <c r="A4" s="416">
        <v>4009</v>
      </c>
      <c r="B4" s="24" t="s">
        <v>59</v>
      </c>
      <c r="C4" s="24" t="s">
        <v>407</v>
      </c>
      <c r="D4" s="26">
        <v>32509</v>
      </c>
      <c r="E4" s="462">
        <v>0.13619890926676601</v>
      </c>
      <c r="G4" s="416">
        <v>4091</v>
      </c>
      <c r="H4" s="24" t="s">
        <v>59</v>
      </c>
      <c r="I4" s="24" t="s">
        <v>408</v>
      </c>
      <c r="J4" s="463">
        <v>1.07260810939331</v>
      </c>
      <c r="N4" t="s">
        <v>409</v>
      </c>
    </row>
    <row r="5" spans="1:14" x14ac:dyDescent="0.25">
      <c r="A5" s="416">
        <v>4009</v>
      </c>
      <c r="B5" s="24" t="s">
        <v>59</v>
      </c>
      <c r="C5" s="24" t="s">
        <v>410</v>
      </c>
      <c r="D5" s="26">
        <v>41122</v>
      </c>
      <c r="E5" s="462">
        <v>0.27196906363793599</v>
      </c>
      <c r="G5" s="416">
        <v>4094</v>
      </c>
      <c r="H5" s="24" t="s">
        <v>59</v>
      </c>
      <c r="I5" s="24" t="s">
        <v>411</v>
      </c>
      <c r="J5" s="463">
        <v>2.6447255415730302</v>
      </c>
      <c r="N5" t="s">
        <v>330</v>
      </c>
    </row>
    <row r="6" spans="1:14" x14ac:dyDescent="0.25">
      <c r="A6" s="416">
        <v>4009</v>
      </c>
      <c r="B6" s="24" t="s">
        <v>59</v>
      </c>
      <c r="C6" s="24" t="s">
        <v>412</v>
      </c>
      <c r="D6" s="26">
        <v>35431</v>
      </c>
      <c r="E6" s="462">
        <v>3.6345641155157602</v>
      </c>
      <c r="G6" s="416">
        <v>4098</v>
      </c>
      <c r="H6" s="24" t="s">
        <v>59</v>
      </c>
      <c r="I6" s="24" t="s">
        <v>413</v>
      </c>
      <c r="J6" s="463">
        <v>18.536814505625902</v>
      </c>
      <c r="N6" t="s">
        <v>414</v>
      </c>
    </row>
    <row r="7" spans="1:14" x14ac:dyDescent="0.25">
      <c r="A7" s="416"/>
      <c r="B7" s="24"/>
      <c r="C7" s="24"/>
      <c r="D7" s="26"/>
      <c r="E7" s="463">
        <f>SUM(E4:E6)</f>
        <v>4.0427320884204621</v>
      </c>
      <c r="G7" s="416">
        <v>4238</v>
      </c>
      <c r="H7" s="24" t="s">
        <v>59</v>
      </c>
      <c r="I7" s="24" t="s">
        <v>415</v>
      </c>
      <c r="J7" s="462">
        <v>2.16101453009491</v>
      </c>
    </row>
    <row r="8" spans="1:14" x14ac:dyDescent="0.25">
      <c r="A8" s="416"/>
      <c r="B8" s="24"/>
      <c r="C8" s="24"/>
      <c r="D8" s="26"/>
      <c r="E8" s="462"/>
      <c r="G8" s="416">
        <v>4238</v>
      </c>
      <c r="H8" s="24" t="s">
        <v>59</v>
      </c>
      <c r="I8" s="24" t="s">
        <v>416</v>
      </c>
      <c r="J8" s="462">
        <v>2.05436295414684</v>
      </c>
    </row>
    <row r="9" spans="1:14" x14ac:dyDescent="0.25">
      <c r="A9" s="416">
        <v>4024</v>
      </c>
      <c r="B9" s="24" t="s">
        <v>59</v>
      </c>
      <c r="C9" s="24" t="s">
        <v>417</v>
      </c>
      <c r="D9" s="26">
        <v>33055</v>
      </c>
      <c r="E9" s="463">
        <v>0.123076325276474</v>
      </c>
      <c r="G9" s="416"/>
      <c r="H9" s="24"/>
      <c r="I9" s="24"/>
      <c r="J9" s="463">
        <f>SUM(J7:J8)</f>
        <v>4.21537748424175</v>
      </c>
    </row>
    <row r="10" spans="1:14" ht="15.75" thickBot="1" x14ac:dyDescent="0.3">
      <c r="A10" s="416">
        <v>4030</v>
      </c>
      <c r="B10" s="24" t="s">
        <v>59</v>
      </c>
      <c r="C10" s="24" t="s">
        <v>418</v>
      </c>
      <c r="D10" s="26">
        <v>33178</v>
      </c>
      <c r="E10" s="463">
        <v>10.549252685332499</v>
      </c>
      <c r="G10" s="468" t="s">
        <v>52</v>
      </c>
      <c r="H10" s="469"/>
      <c r="I10" s="417"/>
      <c r="J10" s="470">
        <f>SUM(J4:J6,J9)</f>
        <v>26.469525640833993</v>
      </c>
    </row>
    <row r="11" spans="1:14" x14ac:dyDescent="0.25">
      <c r="A11" s="416"/>
      <c r="B11" s="24"/>
      <c r="C11" s="24"/>
      <c r="D11" s="26"/>
      <c r="E11" s="462"/>
      <c r="G11" s="19"/>
      <c r="H11" s="19"/>
      <c r="I11" s="19"/>
      <c r="J11" s="454"/>
      <c r="N11" t="s">
        <v>419</v>
      </c>
    </row>
    <row r="12" spans="1:14" x14ac:dyDescent="0.25">
      <c r="A12" s="416"/>
      <c r="B12" s="24"/>
      <c r="C12" s="24"/>
      <c r="D12" s="26"/>
      <c r="E12" s="462"/>
      <c r="G12" s="19"/>
      <c r="H12" s="19"/>
      <c r="I12" s="19"/>
      <c r="J12" s="454"/>
    </row>
    <row r="13" spans="1:14" x14ac:dyDescent="0.25">
      <c r="A13" s="416">
        <v>4091</v>
      </c>
      <c r="B13" s="24" t="s">
        <v>59</v>
      </c>
      <c r="C13" s="24" t="s">
        <v>408</v>
      </c>
      <c r="D13" s="26">
        <v>43384</v>
      </c>
      <c r="E13" s="462">
        <v>0.100098976291065</v>
      </c>
      <c r="G13" s="19"/>
      <c r="H13" s="19"/>
      <c r="I13" s="19"/>
      <c r="J13" s="454"/>
    </row>
    <row r="14" spans="1:14" x14ac:dyDescent="0.25">
      <c r="A14" s="416">
        <v>4091</v>
      </c>
      <c r="B14" s="24" t="s">
        <v>59</v>
      </c>
      <c r="C14" s="24" t="s">
        <v>420</v>
      </c>
      <c r="D14" s="26">
        <v>35612</v>
      </c>
      <c r="E14" s="462">
        <v>5.1173739510414</v>
      </c>
      <c r="G14" s="19"/>
      <c r="H14" s="19"/>
      <c r="I14" s="19"/>
      <c r="J14" s="454"/>
    </row>
    <row r="15" spans="1:14" x14ac:dyDescent="0.25">
      <c r="A15" s="416">
        <v>4091</v>
      </c>
      <c r="B15" s="24" t="s">
        <v>59</v>
      </c>
      <c r="C15" s="24" t="s">
        <v>408</v>
      </c>
      <c r="D15" s="26">
        <v>43384</v>
      </c>
      <c r="E15" s="462">
        <v>0.97250905398723297</v>
      </c>
      <c r="G15" s="19"/>
      <c r="H15" s="19"/>
      <c r="I15" s="19"/>
      <c r="J15" s="454"/>
    </row>
    <row r="16" spans="1:14" x14ac:dyDescent="0.25">
      <c r="A16" s="416">
        <v>4091</v>
      </c>
      <c r="B16" s="24" t="s">
        <v>59</v>
      </c>
      <c r="C16" s="24" t="s">
        <v>420</v>
      </c>
      <c r="D16" s="26">
        <v>35612</v>
      </c>
      <c r="E16" s="462">
        <v>0.97250905398723297</v>
      </c>
      <c r="G16" s="19"/>
      <c r="J16" s="454"/>
    </row>
    <row r="17" spans="1:14" x14ac:dyDescent="0.25">
      <c r="A17" s="416"/>
      <c r="B17" s="24"/>
      <c r="C17" s="24"/>
      <c r="D17" s="26"/>
      <c r="E17" s="463">
        <f>SUM(E13:E16)</f>
        <v>7.1624910353069309</v>
      </c>
      <c r="G17" s="19"/>
      <c r="J17" s="454"/>
    </row>
    <row r="18" spans="1:14" x14ac:dyDescent="0.25">
      <c r="A18" s="416"/>
      <c r="B18" s="24"/>
      <c r="C18" s="24"/>
      <c r="D18" s="26"/>
      <c r="E18" s="462"/>
      <c r="G18" s="366"/>
      <c r="J18" s="461"/>
    </row>
    <row r="19" spans="1:14" x14ac:dyDescent="0.25">
      <c r="A19" s="416">
        <v>4093</v>
      </c>
      <c r="B19" s="24" t="s">
        <v>59</v>
      </c>
      <c r="C19" s="24" t="s">
        <v>421</v>
      </c>
      <c r="D19" s="26">
        <v>40344</v>
      </c>
      <c r="E19" s="462">
        <v>7.49410542351188</v>
      </c>
      <c r="G19" s="19"/>
      <c r="J19" s="454"/>
      <c r="N19" s="465"/>
    </row>
    <row r="20" spans="1:14" x14ac:dyDescent="0.25">
      <c r="A20" s="416">
        <v>4093</v>
      </c>
      <c r="B20" s="24" t="s">
        <v>59</v>
      </c>
      <c r="C20" s="24" t="s">
        <v>422</v>
      </c>
      <c r="D20" s="26">
        <v>35977</v>
      </c>
      <c r="E20" s="462">
        <v>0.30832454413499699</v>
      </c>
      <c r="G20" s="19"/>
      <c r="J20" s="454"/>
      <c r="N20" s="465"/>
    </row>
    <row r="21" spans="1:14" x14ac:dyDescent="0.25">
      <c r="A21" s="416"/>
      <c r="B21" s="24"/>
      <c r="C21" s="24"/>
      <c r="D21" s="26"/>
      <c r="E21" s="463">
        <f>SUM(E19:E20)</f>
        <v>7.8024299676468774</v>
      </c>
      <c r="G21" s="19"/>
      <c r="J21" s="454"/>
      <c r="N21" s="465"/>
    </row>
    <row r="22" spans="1:14" x14ac:dyDescent="0.25">
      <c r="A22" s="416"/>
      <c r="B22" s="24"/>
      <c r="C22" s="24"/>
      <c r="D22" s="26"/>
      <c r="E22" s="462"/>
      <c r="G22" s="19"/>
      <c r="J22" s="454"/>
      <c r="N22" s="465"/>
    </row>
    <row r="23" spans="1:14" x14ac:dyDescent="0.25">
      <c r="A23" s="416">
        <v>4094</v>
      </c>
      <c r="B23" s="24" t="s">
        <v>59</v>
      </c>
      <c r="C23" s="24" t="s">
        <v>423</v>
      </c>
      <c r="D23" s="26">
        <v>36982</v>
      </c>
      <c r="E23" s="462">
        <v>5.2669357209824597</v>
      </c>
      <c r="G23" s="366"/>
      <c r="J23" s="458"/>
      <c r="N23" s="465"/>
    </row>
    <row r="24" spans="1:14" x14ac:dyDescent="0.25">
      <c r="A24" s="416">
        <v>4094</v>
      </c>
      <c r="B24" s="24" t="s">
        <v>59</v>
      </c>
      <c r="C24" s="24" t="s">
        <v>411</v>
      </c>
      <c r="D24" s="26">
        <v>43529</v>
      </c>
      <c r="E24" s="462">
        <v>0.82282268939518699</v>
      </c>
      <c r="J24" s="19"/>
      <c r="N24" s="465"/>
    </row>
    <row r="25" spans="1:14" x14ac:dyDescent="0.25">
      <c r="A25" s="416">
        <v>4094</v>
      </c>
      <c r="B25" s="24" t="s">
        <v>59</v>
      </c>
      <c r="C25" s="24" t="s">
        <v>423</v>
      </c>
      <c r="D25" s="26">
        <v>36982</v>
      </c>
      <c r="E25" s="462">
        <v>1.82190279124842</v>
      </c>
      <c r="J25" s="19"/>
      <c r="N25" s="465"/>
    </row>
    <row r="26" spans="1:14" x14ac:dyDescent="0.25">
      <c r="A26" s="416">
        <v>4094</v>
      </c>
      <c r="B26" s="24" t="s">
        <v>59</v>
      </c>
      <c r="C26" s="24" t="s">
        <v>411</v>
      </c>
      <c r="D26" s="26">
        <v>43529</v>
      </c>
      <c r="E26" s="462">
        <v>1.82190279124842</v>
      </c>
      <c r="J26" s="19"/>
      <c r="N26" s="465"/>
    </row>
    <row r="27" spans="1:14" x14ac:dyDescent="0.25">
      <c r="A27" s="416"/>
      <c r="B27" s="24"/>
      <c r="C27" s="24"/>
      <c r="D27" s="26"/>
      <c r="E27" s="463">
        <f>SUM(E23:E26)</f>
        <v>9.7335639928744868</v>
      </c>
      <c r="J27" s="19"/>
      <c r="N27" s="465"/>
    </row>
    <row r="28" spans="1:14" ht="16.5" customHeight="1" x14ac:dyDescent="0.25">
      <c r="A28" s="416"/>
      <c r="B28" s="24"/>
      <c r="C28" s="24"/>
      <c r="D28" s="26"/>
      <c r="E28" s="462"/>
      <c r="J28" s="19"/>
      <c r="N28" s="465"/>
    </row>
    <row r="29" spans="1:14" ht="16.5" customHeight="1" x14ac:dyDescent="0.25">
      <c r="A29" s="416">
        <v>4098</v>
      </c>
      <c r="B29" s="24" t="s">
        <v>59</v>
      </c>
      <c r="C29" s="24" t="s">
        <v>424</v>
      </c>
      <c r="D29" s="26">
        <v>30317</v>
      </c>
      <c r="E29" s="463">
        <v>4.8872631306321903</v>
      </c>
      <c r="J29" s="19"/>
      <c r="N29" s="465"/>
    </row>
    <row r="30" spans="1:14" ht="16.5" customHeight="1" x14ac:dyDescent="0.25">
      <c r="A30" s="416">
        <v>4103</v>
      </c>
      <c r="B30" s="24" t="s">
        <v>59</v>
      </c>
      <c r="C30" s="24" t="s">
        <v>425</v>
      </c>
      <c r="D30" s="26">
        <v>37895</v>
      </c>
      <c r="E30" s="462">
        <v>4.8839236724375299</v>
      </c>
      <c r="J30" s="19"/>
      <c r="N30" s="465"/>
    </row>
    <row r="31" spans="1:14" x14ac:dyDescent="0.25">
      <c r="A31" s="416">
        <v>4103</v>
      </c>
      <c r="B31" s="24" t="s">
        <v>59</v>
      </c>
      <c r="C31" s="24" t="s">
        <v>426</v>
      </c>
      <c r="D31" s="26">
        <v>37895</v>
      </c>
      <c r="E31" s="462">
        <v>0.47978247598322898</v>
      </c>
      <c r="J31" s="19"/>
      <c r="N31" s="465"/>
    </row>
    <row r="32" spans="1:14" x14ac:dyDescent="0.25">
      <c r="A32" s="416"/>
      <c r="B32" s="24"/>
      <c r="C32" s="24"/>
      <c r="D32" s="26"/>
      <c r="E32" s="463">
        <f>SUM(E30:E31)</f>
        <v>5.3637061484207589</v>
      </c>
      <c r="J32" s="19"/>
      <c r="N32" s="465"/>
    </row>
    <row r="33" spans="1:14" x14ac:dyDescent="0.25">
      <c r="A33" s="416"/>
      <c r="B33" s="24"/>
      <c r="C33" s="24"/>
      <c r="D33" s="26"/>
      <c r="E33" s="462"/>
      <c r="J33" s="19"/>
      <c r="N33" s="465"/>
    </row>
    <row r="34" spans="1:14" x14ac:dyDescent="0.25">
      <c r="A34" s="416">
        <v>4106</v>
      </c>
      <c r="B34" s="24" t="s">
        <v>59</v>
      </c>
      <c r="C34" s="24" t="s">
        <v>427</v>
      </c>
      <c r="D34" s="26">
        <v>42562</v>
      </c>
      <c r="E34" s="463">
        <v>0.44793135206755502</v>
      </c>
      <c r="J34" s="19"/>
      <c r="N34" s="465"/>
    </row>
    <row r="35" spans="1:14" x14ac:dyDescent="0.25">
      <c r="A35" s="416">
        <v>4143</v>
      </c>
      <c r="B35" s="24" t="s">
        <v>59</v>
      </c>
      <c r="C35" s="24" t="s">
        <v>428</v>
      </c>
      <c r="D35" s="26">
        <v>41928</v>
      </c>
      <c r="E35" s="462">
        <v>1.1312744551298901</v>
      </c>
      <c r="I35" s="19"/>
      <c r="J35" s="19"/>
      <c r="N35" s="465"/>
    </row>
    <row r="36" spans="1:14" x14ac:dyDescent="0.25">
      <c r="A36" s="416">
        <v>4143</v>
      </c>
      <c r="B36" s="24" t="s">
        <v>59</v>
      </c>
      <c r="C36" s="24" t="s">
        <v>429</v>
      </c>
      <c r="D36" s="26">
        <v>32874</v>
      </c>
      <c r="E36" s="462">
        <v>5.44471659202752</v>
      </c>
      <c r="I36" s="19"/>
      <c r="J36" s="19"/>
      <c r="N36" s="465"/>
    </row>
    <row r="37" spans="1:14" x14ac:dyDescent="0.25">
      <c r="A37" s="416"/>
      <c r="B37" s="24"/>
      <c r="C37" s="24"/>
      <c r="D37" s="26"/>
      <c r="E37" s="463">
        <f>SUM(E35:E36)</f>
        <v>6.5759910471574106</v>
      </c>
      <c r="I37" s="19"/>
      <c r="J37" s="19"/>
      <c r="N37" s="465"/>
    </row>
    <row r="38" spans="1:14" x14ac:dyDescent="0.25">
      <c r="A38" s="416"/>
      <c r="B38" s="24"/>
      <c r="C38" s="24"/>
      <c r="D38" s="26"/>
      <c r="E38" s="462"/>
      <c r="I38" s="19"/>
      <c r="J38" s="19"/>
      <c r="N38" s="465"/>
    </row>
    <row r="39" spans="1:14" x14ac:dyDescent="0.25">
      <c r="A39" s="416">
        <v>4238</v>
      </c>
      <c r="B39" s="24" t="s">
        <v>59</v>
      </c>
      <c r="C39" s="24" t="s">
        <v>430</v>
      </c>
      <c r="D39" s="26">
        <v>32295</v>
      </c>
      <c r="E39" s="462">
        <v>2.1826384273806201</v>
      </c>
      <c r="I39" s="19"/>
      <c r="J39" s="19"/>
      <c r="N39" s="465"/>
    </row>
    <row r="40" spans="1:14" x14ac:dyDescent="0.25">
      <c r="A40" s="416">
        <v>4238</v>
      </c>
      <c r="B40" s="24" t="s">
        <v>59</v>
      </c>
      <c r="C40" s="24" t="s">
        <v>431</v>
      </c>
      <c r="D40" s="26">
        <v>39694</v>
      </c>
      <c r="E40" s="462">
        <v>16.972060983217698</v>
      </c>
      <c r="I40" s="19"/>
      <c r="J40" s="19"/>
      <c r="N40" s="465"/>
    </row>
    <row r="41" spans="1:14" x14ac:dyDescent="0.25">
      <c r="A41" s="416">
        <v>4238</v>
      </c>
      <c r="B41" s="24" t="s">
        <v>59</v>
      </c>
      <c r="C41" s="24" t="s">
        <v>432</v>
      </c>
      <c r="D41" s="26">
        <v>32417</v>
      </c>
      <c r="E41" s="462">
        <v>3.2866476195805001</v>
      </c>
      <c r="I41" s="19"/>
      <c r="J41" s="19"/>
      <c r="N41" s="465"/>
    </row>
    <row r="42" spans="1:14" x14ac:dyDescent="0.25">
      <c r="A42" s="416">
        <v>4238</v>
      </c>
      <c r="B42" s="24" t="s">
        <v>59</v>
      </c>
      <c r="C42" s="24" t="s">
        <v>433</v>
      </c>
      <c r="D42" s="26">
        <v>36404</v>
      </c>
      <c r="E42" s="462">
        <v>11.286060843331301</v>
      </c>
      <c r="I42" s="19"/>
      <c r="J42" s="19"/>
      <c r="N42" s="465"/>
    </row>
    <row r="43" spans="1:14" x14ac:dyDescent="0.25">
      <c r="A43" s="416"/>
      <c r="B43" s="24"/>
      <c r="C43" s="24"/>
      <c r="D43" s="26"/>
      <c r="E43" s="463">
        <f>SUM(E39:E42)</f>
        <v>33.727407873510117</v>
      </c>
      <c r="I43" s="19"/>
      <c r="J43" s="19"/>
      <c r="N43" s="465"/>
    </row>
    <row r="44" spans="1:14" x14ac:dyDescent="0.25">
      <c r="A44" s="416"/>
      <c r="B44" s="24"/>
      <c r="C44" s="24"/>
      <c r="D44" s="26"/>
      <c r="E44" s="462"/>
      <c r="I44" s="19"/>
      <c r="J44" s="19"/>
      <c r="N44" s="465"/>
    </row>
    <row r="45" spans="1:14" x14ac:dyDescent="0.25">
      <c r="A45" s="416">
        <v>4240</v>
      </c>
      <c r="B45" s="24" t="s">
        <v>59</v>
      </c>
      <c r="C45" s="24" t="s">
        <v>434</v>
      </c>
      <c r="D45" s="26">
        <v>42975</v>
      </c>
      <c r="E45" s="463">
        <v>8.2589738546087101</v>
      </c>
      <c r="I45" s="19"/>
      <c r="J45" s="19"/>
      <c r="N45" s="465"/>
    </row>
    <row r="46" spans="1:14" x14ac:dyDescent="0.25">
      <c r="A46" s="472" t="s">
        <v>435</v>
      </c>
      <c r="B46" s="466"/>
      <c r="C46" s="466"/>
      <c r="D46" s="471"/>
      <c r="E46" s="473">
        <f>SUM(E7,E9,E10,E17,E21,E27,E29,E32,E34,E37,E43,E45)</f>
        <v>98.674819501254476</v>
      </c>
      <c r="I46" s="19"/>
      <c r="J46" s="19"/>
      <c r="N46" s="465"/>
    </row>
    <row r="47" spans="1:14" x14ac:dyDescent="0.25">
      <c r="A47" s="416"/>
      <c r="B47" s="24"/>
      <c r="C47" s="24"/>
      <c r="D47" s="26"/>
      <c r="E47" s="462"/>
      <c r="I47" s="19"/>
      <c r="J47" s="19"/>
      <c r="N47" s="465"/>
    </row>
    <row r="48" spans="1:14" x14ac:dyDescent="0.25">
      <c r="A48" s="416"/>
      <c r="B48" s="24"/>
      <c r="C48" s="24"/>
      <c r="D48" s="26"/>
      <c r="E48" s="462"/>
      <c r="I48" s="19"/>
      <c r="J48" s="19"/>
      <c r="N48" s="465"/>
    </row>
    <row r="49" spans="1:14" x14ac:dyDescent="0.25">
      <c r="A49" s="416">
        <v>4327</v>
      </c>
      <c r="B49" s="24" t="s">
        <v>32</v>
      </c>
      <c r="C49" s="24" t="s">
        <v>436</v>
      </c>
      <c r="D49" s="26">
        <v>42503</v>
      </c>
      <c r="E49" s="463">
        <v>13.4620514607236</v>
      </c>
      <c r="N49" s="465"/>
    </row>
    <row r="50" spans="1:14" x14ac:dyDescent="0.25">
      <c r="A50" s="416">
        <v>4338</v>
      </c>
      <c r="B50" s="24" t="s">
        <v>32</v>
      </c>
      <c r="C50" s="24" t="s">
        <v>437</v>
      </c>
      <c r="D50" s="26">
        <v>23894</v>
      </c>
      <c r="E50" s="462">
        <v>8.2102431037099102</v>
      </c>
      <c r="N50" s="458"/>
    </row>
    <row r="51" spans="1:14" x14ac:dyDescent="0.25">
      <c r="A51" s="416">
        <v>4338</v>
      </c>
      <c r="B51" s="24" t="s">
        <v>32</v>
      </c>
      <c r="C51" s="24" t="s">
        <v>438</v>
      </c>
      <c r="D51" s="26">
        <v>37469</v>
      </c>
      <c r="E51" s="462">
        <v>5.8979767736706004</v>
      </c>
      <c r="N51" s="465"/>
    </row>
    <row r="52" spans="1:14" x14ac:dyDescent="0.25">
      <c r="A52" s="416">
        <v>4338</v>
      </c>
      <c r="B52" s="24" t="s">
        <v>32</v>
      </c>
      <c r="C52" s="24" t="s">
        <v>439</v>
      </c>
      <c r="D52" s="26">
        <v>35643</v>
      </c>
      <c r="E52" s="462">
        <v>0.59564302607590003</v>
      </c>
      <c r="N52" s="465"/>
    </row>
    <row r="53" spans="1:14" x14ac:dyDescent="0.25">
      <c r="A53" s="416">
        <v>4338</v>
      </c>
      <c r="B53" s="24" t="s">
        <v>32</v>
      </c>
      <c r="C53" s="24" t="s">
        <v>440</v>
      </c>
      <c r="D53" s="26">
        <v>37622</v>
      </c>
      <c r="E53" s="462">
        <v>2.0330233119715202</v>
      </c>
    </row>
    <row r="54" spans="1:14" x14ac:dyDescent="0.25">
      <c r="A54" s="416">
        <v>4338</v>
      </c>
      <c r="B54" s="24" t="s">
        <v>32</v>
      </c>
      <c r="C54" s="24" t="s">
        <v>437</v>
      </c>
      <c r="D54" s="26">
        <v>23894</v>
      </c>
      <c r="E54" s="462">
        <v>0.29408796277455901</v>
      </c>
      <c r="N54" s="465"/>
    </row>
    <row r="55" spans="1:14" x14ac:dyDescent="0.25">
      <c r="A55" s="416">
        <v>4338</v>
      </c>
      <c r="B55" s="24" t="s">
        <v>32</v>
      </c>
      <c r="C55" s="24" t="s">
        <v>438</v>
      </c>
      <c r="D55" s="26">
        <v>37469</v>
      </c>
      <c r="E55" s="462">
        <v>0.29408796277455901</v>
      </c>
      <c r="N55" s="465"/>
    </row>
    <row r="56" spans="1:14" x14ac:dyDescent="0.25">
      <c r="A56" s="416">
        <v>4338</v>
      </c>
      <c r="B56" s="24" t="s">
        <v>32</v>
      </c>
      <c r="C56" s="24" t="s">
        <v>438</v>
      </c>
      <c r="D56" s="26">
        <v>37469</v>
      </c>
      <c r="E56" s="462">
        <v>1.23917310364765E-4</v>
      </c>
      <c r="I56" s="19"/>
      <c r="J56" s="19"/>
      <c r="N56" s="465"/>
    </row>
    <row r="57" spans="1:14" x14ac:dyDescent="0.25">
      <c r="A57" s="416">
        <v>4338</v>
      </c>
      <c r="B57" s="24" t="s">
        <v>32</v>
      </c>
      <c r="C57" s="24" t="s">
        <v>439</v>
      </c>
      <c r="D57" s="26">
        <v>35643</v>
      </c>
      <c r="E57" s="462">
        <v>1.23917310364765E-4</v>
      </c>
      <c r="I57" s="19"/>
      <c r="J57" s="19"/>
      <c r="N57" s="465"/>
    </row>
    <row r="58" spans="1:14" x14ac:dyDescent="0.25">
      <c r="A58" s="416"/>
      <c r="B58" s="24"/>
      <c r="C58" s="24"/>
      <c r="D58" s="26"/>
      <c r="E58" s="463">
        <f>SUM(E50:E57)</f>
        <v>17.325309975597776</v>
      </c>
      <c r="I58" s="19"/>
      <c r="J58" s="19"/>
      <c r="N58" s="465"/>
    </row>
    <row r="59" spans="1:14" x14ac:dyDescent="0.25">
      <c r="A59" s="472" t="s">
        <v>435</v>
      </c>
      <c r="B59" s="466"/>
      <c r="C59" s="466"/>
      <c r="D59" s="471"/>
      <c r="E59" s="473">
        <f>SUM(E49,E58)</f>
        <v>30.787361436321376</v>
      </c>
      <c r="I59" s="19"/>
      <c r="J59" s="19"/>
      <c r="N59" s="465"/>
    </row>
    <row r="60" spans="1:14" x14ac:dyDescent="0.25">
      <c r="A60" s="416"/>
      <c r="B60" s="24"/>
      <c r="C60" s="24"/>
      <c r="D60" s="26"/>
      <c r="E60" s="462"/>
      <c r="I60" s="19"/>
      <c r="J60" s="19"/>
      <c r="N60" s="465"/>
    </row>
    <row r="61" spans="1:14" x14ac:dyDescent="0.25">
      <c r="A61" s="416"/>
      <c r="B61" s="24"/>
      <c r="C61" s="24"/>
      <c r="D61" s="26"/>
      <c r="E61" s="462"/>
      <c r="I61" s="19"/>
      <c r="J61" s="19"/>
      <c r="N61" s="465"/>
    </row>
    <row r="62" spans="1:14" x14ac:dyDescent="0.25">
      <c r="A62" s="416">
        <v>3650</v>
      </c>
      <c r="B62" s="24" t="s">
        <v>406</v>
      </c>
      <c r="C62" s="24" t="s">
        <v>441</v>
      </c>
      <c r="D62" s="26">
        <v>40969</v>
      </c>
      <c r="E62" s="463">
        <v>4.80371129086328</v>
      </c>
      <c r="I62" s="19"/>
      <c r="J62" s="19"/>
      <c r="N62" s="465"/>
    </row>
    <row r="63" spans="1:14" x14ac:dyDescent="0.25">
      <c r="A63" s="416">
        <v>3769</v>
      </c>
      <c r="B63" s="24" t="s">
        <v>406</v>
      </c>
      <c r="C63" s="24" t="s">
        <v>442</v>
      </c>
      <c r="D63" s="26">
        <v>38768</v>
      </c>
      <c r="E63" s="463">
        <v>1.84928989697173</v>
      </c>
      <c r="I63" s="19"/>
      <c r="J63" s="19"/>
      <c r="N63" s="465"/>
    </row>
    <row r="64" spans="1:14" x14ac:dyDescent="0.25">
      <c r="A64" s="416">
        <v>3777</v>
      </c>
      <c r="B64" s="24" t="s">
        <v>406</v>
      </c>
      <c r="C64" s="24" t="s">
        <v>443</v>
      </c>
      <c r="D64" s="26">
        <v>37043</v>
      </c>
      <c r="E64" s="462">
        <v>0.33744449164493701</v>
      </c>
      <c r="I64" s="19"/>
      <c r="J64" s="19"/>
      <c r="N64" s="465"/>
    </row>
    <row r="65" spans="1:14" x14ac:dyDescent="0.25">
      <c r="A65" s="416">
        <v>3777</v>
      </c>
      <c r="B65" s="24" t="s">
        <v>406</v>
      </c>
      <c r="C65" s="24" t="s">
        <v>444</v>
      </c>
      <c r="D65" s="26">
        <v>37043</v>
      </c>
      <c r="E65" s="462">
        <v>0.179155783745828</v>
      </c>
      <c r="I65" s="19"/>
      <c r="J65" s="19"/>
      <c r="N65" s="465"/>
    </row>
    <row r="66" spans="1:14" x14ac:dyDescent="0.25">
      <c r="A66" s="416"/>
      <c r="B66" s="24"/>
      <c r="C66" s="24"/>
      <c r="D66" s="26"/>
      <c r="E66" s="463">
        <f>SUM(E64:E65)</f>
        <v>0.51660027539076503</v>
      </c>
      <c r="I66" s="19"/>
      <c r="J66" s="19"/>
      <c r="N66" s="465"/>
    </row>
    <row r="67" spans="1:14" x14ac:dyDescent="0.25">
      <c r="A67" s="416"/>
      <c r="B67" s="24"/>
      <c r="C67" s="24"/>
      <c r="D67" s="26"/>
      <c r="E67" s="462"/>
      <c r="I67" s="19"/>
      <c r="J67" s="19"/>
      <c r="N67" s="465"/>
    </row>
    <row r="68" spans="1:14" x14ac:dyDescent="0.25">
      <c r="A68" s="416">
        <v>3797</v>
      </c>
      <c r="B68" s="24" t="s">
        <v>406</v>
      </c>
      <c r="C68" s="24" t="s">
        <v>445</v>
      </c>
      <c r="D68" s="26">
        <v>38730</v>
      </c>
      <c r="E68" s="462">
        <v>1.26186246567792</v>
      </c>
      <c r="I68" s="19"/>
      <c r="J68" s="19"/>
      <c r="N68" s="465"/>
    </row>
    <row r="69" spans="1:14" x14ac:dyDescent="0.25">
      <c r="A69" s="416">
        <v>3797</v>
      </c>
      <c r="B69" s="24" t="s">
        <v>406</v>
      </c>
      <c r="C69" s="24" t="s">
        <v>446</v>
      </c>
      <c r="D69" s="26">
        <v>39037</v>
      </c>
      <c r="E69" s="462">
        <v>1.06552057772395</v>
      </c>
      <c r="I69" s="19"/>
      <c r="J69" s="19"/>
      <c r="N69" s="465"/>
    </row>
    <row r="70" spans="1:14" x14ac:dyDescent="0.25">
      <c r="A70" s="416"/>
      <c r="B70" s="24"/>
      <c r="C70" s="24"/>
      <c r="D70" s="26"/>
      <c r="E70" s="463">
        <f>SUM(E68:E69)</f>
        <v>2.3273830434018699</v>
      </c>
      <c r="I70" s="19"/>
      <c r="J70" s="19"/>
      <c r="N70" s="465"/>
    </row>
    <row r="71" spans="1:14" x14ac:dyDescent="0.25">
      <c r="A71" s="416"/>
      <c r="B71" s="24"/>
      <c r="C71" s="24"/>
      <c r="D71" s="26"/>
      <c r="E71" s="462"/>
      <c r="I71" s="19"/>
      <c r="J71" s="19"/>
    </row>
    <row r="72" spans="1:14" x14ac:dyDescent="0.25">
      <c r="A72" s="416">
        <v>3798</v>
      </c>
      <c r="B72" s="24" t="s">
        <v>406</v>
      </c>
      <c r="C72" s="24" t="s">
        <v>447</v>
      </c>
      <c r="D72" s="26">
        <v>37135</v>
      </c>
      <c r="E72" s="463">
        <v>5.3641580557486197</v>
      </c>
      <c r="I72" s="19"/>
      <c r="J72" s="19"/>
    </row>
    <row r="73" spans="1:14" ht="15.75" thickBot="1" x14ac:dyDescent="0.3">
      <c r="A73" s="468" t="s">
        <v>435</v>
      </c>
      <c r="B73" s="474"/>
      <c r="C73" s="474"/>
      <c r="D73" s="475"/>
      <c r="E73" s="470">
        <f>SUM(E62,E63,E66,E70,E72)</f>
        <v>14.861142562376264</v>
      </c>
      <c r="I73" s="19"/>
      <c r="J73" s="19"/>
    </row>
    <row r="74" spans="1:14" x14ac:dyDescent="0.25">
      <c r="A74" s="19"/>
      <c r="B74" s="19"/>
      <c r="C74" s="19"/>
      <c r="D74" s="266"/>
      <c r="E74" s="454"/>
      <c r="I74" s="19"/>
      <c r="J74" s="19"/>
    </row>
    <row r="75" spans="1:14" x14ac:dyDescent="0.25">
      <c r="A75" s="19"/>
      <c r="B75" s="19"/>
      <c r="C75" s="19"/>
      <c r="D75" s="266"/>
      <c r="E75" s="454"/>
      <c r="I75" s="19"/>
      <c r="J75" s="19"/>
    </row>
    <row r="76" spans="1:14" x14ac:dyDescent="0.25">
      <c r="A76" s="19"/>
      <c r="B76" s="19"/>
      <c r="C76" s="19"/>
      <c r="D76" s="266"/>
      <c r="E76" s="454"/>
      <c r="I76" s="19"/>
      <c r="J76" s="19"/>
    </row>
    <row r="77" spans="1:14" x14ac:dyDescent="0.25">
      <c r="A77" s="19"/>
      <c r="B77" s="19"/>
      <c r="C77" s="19"/>
      <c r="D77" s="266"/>
      <c r="E77" s="454"/>
      <c r="I77" s="19"/>
      <c r="J77" s="19"/>
    </row>
    <row r="78" spans="1:14" x14ac:dyDescent="0.25">
      <c r="A78" s="19"/>
      <c r="B78" s="19"/>
      <c r="C78" s="19"/>
      <c r="D78" s="266"/>
      <c r="E78" s="454"/>
      <c r="I78" s="19"/>
      <c r="J78" s="19"/>
    </row>
    <row r="79" spans="1:14" x14ac:dyDescent="0.25">
      <c r="A79" s="19"/>
      <c r="B79" s="19"/>
      <c r="C79" s="19"/>
      <c r="D79" s="266"/>
      <c r="E79" s="454"/>
      <c r="I79" s="19"/>
      <c r="J79" s="19"/>
    </row>
    <row r="80" spans="1:14" x14ac:dyDescent="0.25">
      <c r="A80" s="19"/>
      <c r="B80" s="19"/>
      <c r="C80" s="19"/>
      <c r="D80" s="266"/>
      <c r="E80" s="454"/>
      <c r="I80" s="19"/>
      <c r="J80" s="19"/>
    </row>
    <row r="81" spans="1:10" x14ac:dyDescent="0.25">
      <c r="A81" s="19"/>
      <c r="B81" s="19"/>
      <c r="C81" s="19"/>
      <c r="D81" s="266"/>
      <c r="E81" s="454"/>
      <c r="I81" s="19"/>
      <c r="J81" s="19"/>
    </row>
    <row r="82" spans="1:10" x14ac:dyDescent="0.25">
      <c r="A82" s="19"/>
      <c r="B82" s="19"/>
      <c r="C82" s="19"/>
      <c r="D82" s="266"/>
      <c r="E82" s="454"/>
      <c r="I82" s="19"/>
      <c r="J82" s="19"/>
    </row>
    <row r="83" spans="1:10" x14ac:dyDescent="0.25">
      <c r="A83" s="19"/>
      <c r="B83" s="19"/>
      <c r="C83" s="19"/>
      <c r="D83" s="266"/>
      <c r="E83" s="454"/>
      <c r="I83" s="19"/>
      <c r="J83" s="19"/>
    </row>
    <row r="84" spans="1:10" x14ac:dyDescent="0.25">
      <c r="A84" s="19"/>
      <c r="B84" s="19"/>
      <c r="C84" s="19"/>
      <c r="D84" s="266"/>
      <c r="E84" s="454"/>
      <c r="I84" s="19"/>
      <c r="J84" s="19"/>
    </row>
    <row r="85" spans="1:10" x14ac:dyDescent="0.25">
      <c r="A85" s="19"/>
      <c r="B85" s="19"/>
      <c r="C85" s="19"/>
      <c r="D85" s="266"/>
      <c r="E85" s="454"/>
      <c r="I85" s="19"/>
      <c r="J85" s="19"/>
    </row>
    <row r="86" spans="1:10" x14ac:dyDescent="0.25">
      <c r="A86" s="19"/>
      <c r="B86" s="19"/>
      <c r="C86" s="19"/>
      <c r="D86" s="266"/>
      <c r="E86" s="454"/>
      <c r="I86" s="19"/>
      <c r="J86" s="19"/>
    </row>
    <row r="87" spans="1:10" x14ac:dyDescent="0.25">
      <c r="A87" s="19"/>
      <c r="B87" s="19"/>
      <c r="C87" s="19"/>
      <c r="D87" s="266"/>
      <c r="E87" s="454"/>
      <c r="I87" s="19"/>
      <c r="J87" s="19"/>
    </row>
    <row r="88" spans="1:10" x14ac:dyDescent="0.25">
      <c r="A88" s="19"/>
      <c r="B88" s="19"/>
      <c r="C88" s="19"/>
      <c r="D88" s="266"/>
      <c r="E88" s="454"/>
      <c r="I88" s="19"/>
      <c r="J88" s="19"/>
    </row>
    <row r="89" spans="1:10" x14ac:dyDescent="0.25">
      <c r="A89" s="19"/>
      <c r="B89" s="19"/>
      <c r="C89" s="19"/>
      <c r="D89" s="266"/>
      <c r="E89" s="454"/>
      <c r="I89" s="19"/>
      <c r="J89" s="19"/>
    </row>
    <row r="90" spans="1:10" x14ac:dyDescent="0.25">
      <c r="A90" s="19"/>
      <c r="B90" s="19"/>
      <c r="C90" s="19"/>
      <c r="D90" s="266"/>
      <c r="E90" s="454"/>
      <c r="I90" s="19"/>
      <c r="J90" s="19"/>
    </row>
    <row r="91" spans="1:10" x14ac:dyDescent="0.25">
      <c r="A91" s="19"/>
      <c r="B91" s="19"/>
      <c r="C91" s="19"/>
      <c r="D91" s="266"/>
      <c r="E91" s="454"/>
      <c r="I91" s="19"/>
      <c r="J91" s="19"/>
    </row>
    <row r="92" spans="1:10" x14ac:dyDescent="0.25">
      <c r="A92" s="19"/>
      <c r="B92" s="19"/>
      <c r="C92" s="19"/>
      <c r="D92" s="266"/>
      <c r="E92" s="454"/>
      <c r="I92" s="19"/>
      <c r="J92" s="19"/>
    </row>
    <row r="93" spans="1:10" x14ac:dyDescent="0.25">
      <c r="A93" s="19"/>
      <c r="B93" s="19"/>
      <c r="C93" s="19"/>
      <c r="D93" s="266"/>
      <c r="E93" s="454"/>
      <c r="I93" s="19"/>
      <c r="J93" s="19"/>
    </row>
    <row r="94" spans="1:10" x14ac:dyDescent="0.25">
      <c r="A94" s="19"/>
      <c r="B94" s="19"/>
      <c r="C94" s="19"/>
      <c r="D94" s="266"/>
      <c r="E94" s="454"/>
      <c r="I94" s="19"/>
      <c r="J94" s="19"/>
    </row>
    <row r="95" spans="1:10" x14ac:dyDescent="0.25">
      <c r="A95" s="19"/>
      <c r="B95" s="19"/>
      <c r="C95" s="19"/>
      <c r="D95" s="266"/>
      <c r="E95" s="454"/>
      <c r="I95" s="19"/>
      <c r="J95" s="19"/>
    </row>
    <row r="96" spans="1:10" x14ac:dyDescent="0.25">
      <c r="A96" s="19"/>
      <c r="B96" s="19"/>
      <c r="C96" s="19"/>
      <c r="D96" s="266"/>
      <c r="E96" s="454"/>
      <c r="I96" s="19"/>
      <c r="J96" s="19"/>
    </row>
    <row r="97" spans="1:10" x14ac:dyDescent="0.25">
      <c r="A97" s="19"/>
      <c r="B97" s="19"/>
      <c r="C97" s="19"/>
      <c r="D97" s="266"/>
      <c r="E97" s="454"/>
      <c r="I97" s="19"/>
      <c r="J97" s="19"/>
    </row>
    <row r="98" spans="1:10" x14ac:dyDescent="0.25">
      <c r="A98" s="366"/>
      <c r="B98" s="19"/>
      <c r="C98" s="122"/>
      <c r="D98" s="458"/>
      <c r="E98" s="461"/>
      <c r="I98" s="19"/>
      <c r="J98" s="19"/>
    </row>
    <row r="99" spans="1:10" x14ac:dyDescent="0.25">
      <c r="A99" s="366"/>
      <c r="B99" s="19"/>
      <c r="C99" s="122"/>
      <c r="D99" s="458"/>
      <c r="E99" s="461"/>
      <c r="I99" s="19"/>
      <c r="J99" s="19"/>
    </row>
    <row r="100" spans="1:10" x14ac:dyDescent="0.25">
      <c r="A100" s="366"/>
      <c r="B100" s="19"/>
      <c r="C100" s="122"/>
      <c r="D100" s="458"/>
      <c r="E100" s="461"/>
      <c r="I100" s="19"/>
      <c r="J100" s="19"/>
    </row>
    <row r="101" spans="1:10" x14ac:dyDescent="0.25">
      <c r="A101" s="19"/>
      <c r="B101" s="19"/>
      <c r="C101" s="19"/>
      <c r="D101" s="266"/>
      <c r="E101" s="454"/>
      <c r="I101" s="19"/>
      <c r="J101" s="19"/>
    </row>
    <row r="102" spans="1:10" x14ac:dyDescent="0.25">
      <c r="A102" s="19"/>
      <c r="B102" s="19"/>
      <c r="C102" s="19"/>
      <c r="D102" s="266"/>
      <c r="E102" s="454"/>
      <c r="I102" s="19"/>
      <c r="J102" s="19"/>
    </row>
    <row r="103" spans="1:10" x14ac:dyDescent="0.25">
      <c r="A103" s="19"/>
      <c r="B103" s="19"/>
      <c r="C103" s="19"/>
      <c r="D103" s="266"/>
      <c r="E103" s="454"/>
      <c r="I103" s="19"/>
      <c r="J103" s="19"/>
    </row>
    <row r="104" spans="1:10" x14ac:dyDescent="0.25">
      <c r="A104" s="19"/>
      <c r="B104" s="19"/>
      <c r="C104" s="19"/>
      <c r="D104" s="266"/>
      <c r="E104" s="454"/>
      <c r="I104" s="19"/>
      <c r="J104" s="19"/>
    </row>
    <row r="105" spans="1:10" x14ac:dyDescent="0.25">
      <c r="A105" s="19"/>
      <c r="B105" s="19"/>
      <c r="C105" s="19"/>
      <c r="D105" s="266"/>
      <c r="E105" s="454"/>
      <c r="I105" s="19"/>
      <c r="J105" s="19"/>
    </row>
    <row r="106" spans="1:10" x14ac:dyDescent="0.25">
      <c r="A106" s="19"/>
      <c r="B106" s="19"/>
      <c r="C106" s="19"/>
      <c r="D106" s="266"/>
      <c r="E106" s="454"/>
      <c r="I106" s="19"/>
      <c r="J106" s="19"/>
    </row>
    <row r="107" spans="1:10" x14ac:dyDescent="0.25">
      <c r="A107" s="19"/>
      <c r="B107" s="19"/>
      <c r="C107" s="19"/>
      <c r="D107" s="266"/>
      <c r="E107" s="454"/>
      <c r="I107" s="19"/>
      <c r="J107" s="19"/>
    </row>
    <row r="108" spans="1:10" x14ac:dyDescent="0.25">
      <c r="A108" s="19"/>
      <c r="B108" s="19"/>
      <c r="C108" s="19"/>
      <c r="D108" s="266"/>
      <c r="E108" s="454"/>
      <c r="I108" s="19"/>
      <c r="J108" s="19"/>
    </row>
    <row r="109" spans="1:10" x14ac:dyDescent="0.25">
      <c r="A109" s="19"/>
      <c r="B109" s="19"/>
      <c r="C109" s="19"/>
      <c r="D109" s="266"/>
      <c r="E109" s="454"/>
      <c r="I109" s="19"/>
      <c r="J109" s="19"/>
    </row>
    <row r="110" spans="1:10" x14ac:dyDescent="0.25">
      <c r="A110" s="19"/>
      <c r="B110" s="19"/>
      <c r="C110" s="19"/>
      <c r="D110" s="266"/>
      <c r="E110" s="454"/>
      <c r="I110" s="19"/>
      <c r="J110" s="19"/>
    </row>
    <row r="111" spans="1:10" x14ac:dyDescent="0.25">
      <c r="A111" s="19"/>
      <c r="B111" s="19"/>
      <c r="C111" s="19"/>
      <c r="D111" s="266"/>
      <c r="E111" s="454"/>
      <c r="I111" s="19"/>
      <c r="J111" s="19"/>
    </row>
    <row r="112" spans="1:10" x14ac:dyDescent="0.25">
      <c r="A112" s="19"/>
      <c r="B112" s="19"/>
      <c r="C112" s="19"/>
      <c r="D112" s="266"/>
      <c r="E112" s="454"/>
      <c r="I112" s="19"/>
      <c r="J112" s="19"/>
    </row>
    <row r="113" spans="1:10" x14ac:dyDescent="0.25">
      <c r="A113" s="366"/>
      <c r="B113" s="19"/>
      <c r="C113" s="122"/>
      <c r="D113" s="458"/>
      <c r="E113" s="461"/>
      <c r="I113" s="19"/>
      <c r="J113" s="19"/>
    </row>
    <row r="114" spans="1:10" x14ac:dyDescent="0.25">
      <c r="A114" s="366"/>
      <c r="B114" s="19"/>
      <c r="C114" s="122"/>
      <c r="D114" s="458"/>
      <c r="E114" s="461"/>
      <c r="I114" s="19"/>
      <c r="J114" s="19"/>
    </row>
    <row r="115" spans="1:10" x14ac:dyDescent="0.25">
      <c r="A115" s="19"/>
      <c r="B115" s="19"/>
      <c r="C115" s="19"/>
      <c r="D115" s="266"/>
      <c r="E115" s="454"/>
      <c r="I115" s="19"/>
      <c r="J115" s="19"/>
    </row>
    <row r="116" spans="1:10" x14ac:dyDescent="0.25">
      <c r="A116" s="19"/>
      <c r="B116" s="19"/>
      <c r="C116" s="19"/>
      <c r="D116" s="266"/>
      <c r="E116" s="454"/>
      <c r="I116" s="19"/>
      <c r="J116" s="19"/>
    </row>
    <row r="117" spans="1:10" x14ac:dyDescent="0.25">
      <c r="A117" s="19"/>
      <c r="B117" s="19"/>
      <c r="C117" s="19"/>
      <c r="D117" s="266"/>
      <c r="E117" s="454"/>
      <c r="I117" s="19"/>
      <c r="J117" s="19"/>
    </row>
    <row r="118" spans="1:10" x14ac:dyDescent="0.25">
      <c r="A118" s="19"/>
      <c r="B118" s="19"/>
      <c r="C118" s="19"/>
      <c r="D118" s="266"/>
      <c r="E118" s="454"/>
      <c r="I118" s="19"/>
      <c r="J118" s="19"/>
    </row>
    <row r="119" spans="1:10" x14ac:dyDescent="0.25">
      <c r="A119" s="19"/>
      <c r="B119" s="19"/>
      <c r="C119" s="19"/>
      <c r="D119" s="266"/>
      <c r="E119" s="454"/>
      <c r="I119" s="19"/>
      <c r="J119" s="19"/>
    </row>
    <row r="120" spans="1:10" x14ac:dyDescent="0.25">
      <c r="A120" s="19"/>
      <c r="B120" s="19"/>
      <c r="C120" s="19"/>
      <c r="D120" s="266"/>
      <c r="E120" s="454"/>
      <c r="I120" s="19"/>
      <c r="J120" s="19"/>
    </row>
    <row r="121" spans="1:10" x14ac:dyDescent="0.25">
      <c r="A121" s="19"/>
      <c r="B121" s="19"/>
      <c r="C121" s="19"/>
      <c r="D121" s="266"/>
      <c r="E121" s="454"/>
      <c r="I121" s="19"/>
      <c r="J121" s="19"/>
    </row>
    <row r="122" spans="1:10" x14ac:dyDescent="0.25">
      <c r="A122" s="19"/>
      <c r="B122" s="19"/>
      <c r="C122" s="19"/>
      <c r="D122" s="266"/>
      <c r="E122" s="454"/>
      <c r="I122" s="19"/>
      <c r="J122" s="19"/>
    </row>
    <row r="123" spans="1:10" x14ac:dyDescent="0.25">
      <c r="A123" s="19"/>
      <c r="B123" s="19"/>
      <c r="C123" s="19"/>
      <c r="D123" s="266"/>
      <c r="E123" s="454"/>
      <c r="I123" s="19"/>
      <c r="J123" s="19"/>
    </row>
    <row r="124" spans="1:10" x14ac:dyDescent="0.25">
      <c r="A124" s="19"/>
      <c r="B124" s="19"/>
      <c r="C124" s="19"/>
      <c r="D124" s="266"/>
      <c r="E124" s="454"/>
      <c r="I124" s="19"/>
      <c r="J124" s="19"/>
    </row>
    <row r="125" spans="1:10" x14ac:dyDescent="0.25">
      <c r="A125" s="19"/>
      <c r="B125" s="19"/>
      <c r="C125" s="19"/>
      <c r="D125" s="266"/>
      <c r="E125" s="454"/>
      <c r="I125" s="19"/>
      <c r="J125" s="19"/>
    </row>
    <row r="126" spans="1:10" x14ac:dyDescent="0.25">
      <c r="A126" s="19"/>
      <c r="B126" s="19"/>
      <c r="C126" s="19"/>
      <c r="D126" s="266"/>
      <c r="E126" s="454"/>
      <c r="I126" s="19"/>
      <c r="J126" s="19"/>
    </row>
    <row r="127" spans="1:10" x14ac:dyDescent="0.25">
      <c r="A127" s="19"/>
      <c r="B127" s="19"/>
      <c r="C127" s="19"/>
      <c r="D127" s="266"/>
      <c r="E127" s="454"/>
      <c r="I127" s="19"/>
      <c r="J127" s="19"/>
    </row>
    <row r="128" spans="1:10" x14ac:dyDescent="0.25">
      <c r="A128" s="19"/>
      <c r="B128" s="19"/>
      <c r="C128" s="19"/>
      <c r="D128" s="266"/>
      <c r="E128" s="454"/>
      <c r="I128" s="19"/>
      <c r="J128" s="19"/>
    </row>
    <row r="129" spans="1:10" x14ac:dyDescent="0.25">
      <c r="A129" s="19"/>
      <c r="B129" s="19"/>
      <c r="C129" s="19"/>
      <c r="D129" s="266"/>
      <c r="E129" s="454"/>
      <c r="I129" s="19"/>
      <c r="J129" s="19"/>
    </row>
    <row r="130" spans="1:10" x14ac:dyDescent="0.25">
      <c r="A130" s="19"/>
      <c r="B130" s="19"/>
      <c r="C130" s="19"/>
      <c r="D130" s="266"/>
      <c r="E130" s="454"/>
      <c r="I130" s="19"/>
      <c r="J130" s="19"/>
    </row>
    <row r="131" spans="1:10" x14ac:dyDescent="0.25">
      <c r="B131" s="19"/>
      <c r="C131" s="19"/>
      <c r="D131" s="266"/>
      <c r="E131" s="454"/>
    </row>
    <row r="132" spans="1:10" x14ac:dyDescent="0.25">
      <c r="A132" s="366"/>
      <c r="B132" s="19"/>
      <c r="C132" s="122"/>
      <c r="D132" s="458"/>
      <c r="E132" s="461"/>
      <c r="I132" s="19"/>
      <c r="J132" s="19"/>
    </row>
    <row r="133" spans="1:10" x14ac:dyDescent="0.25">
      <c r="I133" s="19"/>
      <c r="J133" s="19"/>
    </row>
    <row r="135" spans="1:10" x14ac:dyDescent="0.25">
      <c r="J135" s="19"/>
    </row>
    <row r="136" spans="1:10" x14ac:dyDescent="0.25">
      <c r="I136" s="19"/>
      <c r="J136" s="19"/>
    </row>
    <row r="138" spans="1:10" x14ac:dyDescent="0.25">
      <c r="I138" s="19"/>
      <c r="J138" s="19"/>
    </row>
    <row r="139" spans="1:10" x14ac:dyDescent="0.25">
      <c r="I139" s="19"/>
      <c r="J139" s="19"/>
    </row>
    <row r="140" spans="1:10" x14ac:dyDescent="0.25">
      <c r="I140" s="19"/>
      <c r="J140" s="19"/>
    </row>
    <row r="141" spans="1:10" x14ac:dyDescent="0.25">
      <c r="I141" s="19"/>
      <c r="J141" s="19"/>
    </row>
    <row r="142" spans="1:10" x14ac:dyDescent="0.25">
      <c r="I142" s="19"/>
      <c r="J142" s="19"/>
    </row>
    <row r="143" spans="1:10" x14ac:dyDescent="0.25">
      <c r="I143" s="19"/>
      <c r="J143" s="19"/>
    </row>
    <row r="144" spans="1:10" x14ac:dyDescent="0.25">
      <c r="I144" s="19"/>
      <c r="J144" s="19"/>
    </row>
    <row r="145" spans="9:10" x14ac:dyDescent="0.25">
      <c r="I145" s="19"/>
      <c r="J145" s="19"/>
    </row>
    <row r="146" spans="9:10" x14ac:dyDescent="0.25">
      <c r="I146" s="19"/>
      <c r="J146" s="19"/>
    </row>
    <row r="147" spans="9:10" x14ac:dyDescent="0.25">
      <c r="I147" s="19"/>
      <c r="J147" s="19"/>
    </row>
    <row r="148" spans="9:10" x14ac:dyDescent="0.25">
      <c r="I148" s="19"/>
      <c r="J148" s="19"/>
    </row>
    <row r="149" spans="9:10" x14ac:dyDescent="0.25">
      <c r="I149" s="19"/>
      <c r="J149" s="19"/>
    </row>
    <row r="150" spans="9:10" x14ac:dyDescent="0.25">
      <c r="I150" s="19"/>
      <c r="J150" s="1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IBM IBD IBS Poly 2017</vt:lpstr>
      <vt:lpstr>IBM IBD IBS Harvest Data 2017</vt:lpstr>
      <vt:lpstr>IBM IBD IBS NW Poly 2018</vt:lpstr>
      <vt:lpstr>IBM IBD IBS NWHarvest Data 2018</vt:lpstr>
      <vt:lpstr>IBM IBD Poly 2019</vt:lpstr>
      <vt:lpstr>IBM IBD Harvest Data 2019</vt:lpstr>
      <vt:lpstr>IBM IBD IBS IBB Poly 2020</vt:lpstr>
      <vt:lpstr>IBM IBD IBS IBB Hrvst Data 2020</vt:lpstr>
      <vt:lpstr>IBM IBD IBB Poly 2021</vt:lpstr>
      <vt:lpstr>IBM IBD  IBB Hrvst Data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Begley, Robyn FLNR:EX</dc:creator>
  <cp:keywords/>
  <dc:description/>
  <cp:lastModifiedBy>Christianson, Dean D FLNR:EX</cp:lastModifiedBy>
  <cp:revision/>
  <dcterms:created xsi:type="dcterms:W3CDTF">2016-01-06T18:39:50Z</dcterms:created>
  <dcterms:modified xsi:type="dcterms:W3CDTF">2022-07-21T20:43:12Z</dcterms:modified>
  <cp:category/>
  <cp:contentStatus/>
</cp:coreProperties>
</file>